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170" yWindow="510" windowWidth="16590" windowHeight="6780" tabRatio="817"/>
  </bookViews>
  <sheets>
    <sheet name="Summary" sheetId="24" r:id="rId1"/>
    <sheet name="Summary (Proposed - Boiler 1)" sheetId="23" r:id="rId2"/>
    <sheet name="Summary (Proposed - Boiler 3)" sheetId="2" r:id="rId3"/>
    <sheet name="Combustion (Proposed)" sheetId="1" r:id="rId4"/>
    <sheet name="Boiler 1 (Proposed)" sheetId="26" r:id="rId5"/>
    <sheet name="Combustion (Existing Calcs)" sheetId="15" r:id="rId6"/>
    <sheet name="RAFVO Emission Factors" sheetId="18" r:id="rId7"/>
    <sheet name="EQUI 4" sheetId="5" r:id="rId8"/>
    <sheet name="EQUI 20" sheetId="6" r:id="rId9"/>
    <sheet name="EQUI 21" sheetId="7" r:id="rId10"/>
    <sheet name="EQUI 1, EQUI 2" sheetId="9" r:id="rId11"/>
    <sheet name="EQUI 3, EQUI 16, EQUI 17" sheetId="10" r:id="rId12"/>
    <sheet name="EQUI 18" sheetId="11" r:id="rId13"/>
    <sheet name="EQUI 66, EQUI 8, EQUI 9" sheetId="3" r:id="rId14"/>
    <sheet name="FS001, FS002" sheetId="21" r:id="rId15"/>
    <sheet name="Facility Emissions Summary 3" sheetId="19" r:id="rId16"/>
    <sheet name="Facility Emissions Summary 4" sheetId="20" r:id="rId17"/>
    <sheet name="Total HAPs" sheetId="16" r:id="rId18"/>
  </sheets>
  <externalReferences>
    <externalReference r:id="rId19"/>
  </externalReferences>
  <definedNames>
    <definedName name="a" localSheetId="4">#REF!</definedName>
    <definedName name="a" localSheetId="16">#REF!</definedName>
    <definedName name="a" localSheetId="0">#REF!</definedName>
    <definedName name="a" localSheetId="1">#REF!</definedName>
    <definedName name="a">#REF!</definedName>
    <definedName name="asdfssssss" localSheetId="4">#REF!</definedName>
    <definedName name="asdfssssss" localSheetId="0">#REF!</definedName>
    <definedName name="asdfssssss" localSheetId="1">#REF!</definedName>
    <definedName name="asdfssssss">#REF!</definedName>
    <definedName name="asefaes" localSheetId="4">#REF!</definedName>
    <definedName name="asefaes" localSheetId="0">#REF!</definedName>
    <definedName name="asefaes" localSheetId="1">#REF!</definedName>
    <definedName name="asefaes">#REF!</definedName>
    <definedName name="asefeaea" localSheetId="4">#REF!</definedName>
    <definedName name="asefeaea" localSheetId="0">#REF!</definedName>
    <definedName name="asefeaea" localSheetId="1">#REF!</definedName>
    <definedName name="asefeaea">#REF!</definedName>
    <definedName name="asfaseraa" localSheetId="4">#REF!</definedName>
    <definedName name="asfaseraa" localSheetId="0">#REF!</definedName>
    <definedName name="asfaseraa" localSheetId="1">#REF!</definedName>
    <definedName name="asfaseraa">#REF!</definedName>
    <definedName name="asfasfeaseaf" localSheetId="4">#REF!</definedName>
    <definedName name="asfasfeaseaf" localSheetId="0">#REF!</definedName>
    <definedName name="asfasfeaseaf" localSheetId="1">#REF!</definedName>
    <definedName name="asfasfeaseaf">#REF!</definedName>
    <definedName name="b" localSheetId="4">#REF!</definedName>
    <definedName name="b" localSheetId="16">#REF!</definedName>
    <definedName name="b" localSheetId="0">#REF!</definedName>
    <definedName name="b" localSheetId="1">#REF!</definedName>
    <definedName name="b">#REF!</definedName>
    <definedName name="CO2_RECOVERY" localSheetId="4">#REF!</definedName>
    <definedName name="CO2_RECOVERY" localSheetId="15">#REF!</definedName>
    <definedName name="CO2_RECOVERY" localSheetId="16">#REF!</definedName>
    <definedName name="CO2_RECOVERY" localSheetId="0">#REF!</definedName>
    <definedName name="CO2_RECOVERY" localSheetId="1">#REF!</definedName>
    <definedName name="CO2_RECOVERY">#REF!</definedName>
    <definedName name="COOLER" localSheetId="4">#REF!</definedName>
    <definedName name="COOLER" localSheetId="15">#REF!</definedName>
    <definedName name="COOLER" localSheetId="16">#REF!</definedName>
    <definedName name="COOLER" localSheetId="0">#REF!</definedName>
    <definedName name="COOLER" localSheetId="1">#REF!</definedName>
    <definedName name="COOLER">#REF!</definedName>
    <definedName name="d" localSheetId="4">#REF!</definedName>
    <definedName name="d" localSheetId="16">#REF!</definedName>
    <definedName name="d" localSheetId="0">#REF!</definedName>
    <definedName name="d" localSheetId="1">#REF!</definedName>
    <definedName name="d">#REF!</definedName>
    <definedName name="dddd" localSheetId="4">#REF!</definedName>
    <definedName name="dddd" localSheetId="16">#REF!</definedName>
    <definedName name="dddd" localSheetId="0">#REF!</definedName>
    <definedName name="dddd" localSheetId="1">#REF!</definedName>
    <definedName name="dddd">#REF!</definedName>
    <definedName name="ddddd" localSheetId="4">#REF!</definedName>
    <definedName name="ddddd" localSheetId="0">#REF!</definedName>
    <definedName name="ddddd" localSheetId="1">#REF!</definedName>
    <definedName name="ddddd">#REF!</definedName>
    <definedName name="dddddd" localSheetId="4">#REF!</definedName>
    <definedName name="dddddd" localSheetId="0">#REF!</definedName>
    <definedName name="dddddd" localSheetId="1">#REF!</definedName>
    <definedName name="dddddd">#REF!</definedName>
    <definedName name="ddddddddd" localSheetId="4">#REF!</definedName>
    <definedName name="ddddddddd" localSheetId="0">#REF!</definedName>
    <definedName name="ddddddddd" localSheetId="1">#REF!</definedName>
    <definedName name="ddddddddd">#REF!</definedName>
    <definedName name="ddddddddddddddddd" localSheetId="4">#REF!</definedName>
    <definedName name="ddddddddddddddddd" localSheetId="0">#REF!</definedName>
    <definedName name="ddddddddddddddddd" localSheetId="1">#REF!</definedName>
    <definedName name="ddddddddddddddddd">#REF!</definedName>
    <definedName name="DDGS_HANDLING" localSheetId="4">#REF!</definedName>
    <definedName name="DDGS_HANDLING" localSheetId="15">#REF!</definedName>
    <definedName name="DDGS_HANDLING" localSheetId="16">#REF!</definedName>
    <definedName name="DDGS_HANDLING" localSheetId="0">#REF!</definedName>
    <definedName name="DDGS_HANDLING" localSheetId="1">#REF!</definedName>
    <definedName name="DDGS_HANDLING">#REF!</definedName>
    <definedName name="DISTILLATION" localSheetId="4">#REF!</definedName>
    <definedName name="DISTILLATION" localSheetId="15">#REF!</definedName>
    <definedName name="DISTILLATION" localSheetId="16">#REF!</definedName>
    <definedName name="DISTILLATION" localSheetId="0">#REF!</definedName>
    <definedName name="DISTILLATION" localSheetId="1">#REF!</definedName>
    <definedName name="DISTILLATION">#REF!</definedName>
    <definedName name="DRYER_PM_VOC" localSheetId="4">#REF!</definedName>
    <definedName name="DRYER_PM_VOC" localSheetId="15">#REF!</definedName>
    <definedName name="DRYER_PM_VOC" localSheetId="16">#REF!</definedName>
    <definedName name="DRYER_PM_VOC" localSheetId="0">#REF!</definedName>
    <definedName name="DRYER_PM_VOC" localSheetId="1">#REF!</definedName>
    <definedName name="DRYER_PM_VOC">#REF!</definedName>
    <definedName name="e" localSheetId="4">#REF!</definedName>
    <definedName name="e" localSheetId="16">#REF!</definedName>
    <definedName name="e" localSheetId="0">#REF!</definedName>
    <definedName name="e" localSheetId="1">#REF!</definedName>
    <definedName name="e">#REF!</definedName>
    <definedName name="EAW_TOTAL" localSheetId="4">#REF!</definedName>
    <definedName name="EAW_TOTAL" localSheetId="15">#REF!</definedName>
    <definedName name="EAW_TOTAL" localSheetId="16">#REF!</definedName>
    <definedName name="EAW_TOTAL" localSheetId="0">#REF!</definedName>
    <definedName name="EAW_TOTAL" localSheetId="1">#REF!</definedName>
    <definedName name="EAW_TOTAL">#REF!</definedName>
    <definedName name="eee" localSheetId="4">#REF!</definedName>
    <definedName name="eee" localSheetId="16">#REF!</definedName>
    <definedName name="eee" localSheetId="0">#REF!</definedName>
    <definedName name="eee" localSheetId="1">#REF!</definedName>
    <definedName name="eee">#REF!</definedName>
    <definedName name="efasdfasdf" localSheetId="4">#REF!</definedName>
    <definedName name="efasdfasdf" localSheetId="0">#REF!</definedName>
    <definedName name="efasdfasdf" localSheetId="1">#REF!</definedName>
    <definedName name="efasdfasdf">#REF!</definedName>
    <definedName name="EQUIPMENT_LEAKS" localSheetId="4">#REF!</definedName>
    <definedName name="EQUIPMENT_LEAKS" localSheetId="15">#REF!</definedName>
    <definedName name="EQUIPMENT_LEAKS" localSheetId="16">#REF!</definedName>
    <definedName name="EQUIPMENT_LEAKS" localSheetId="0">#REF!</definedName>
    <definedName name="EQUIPMENT_LEAKS" localSheetId="1">#REF!</definedName>
    <definedName name="EQUIPMENT_LEAKS">#REF!</definedName>
    <definedName name="f" localSheetId="4">#REF!</definedName>
    <definedName name="f" localSheetId="16">#REF!</definedName>
    <definedName name="f" localSheetId="0">#REF!</definedName>
    <definedName name="f" localSheetId="1">#REF!</definedName>
    <definedName name="f">#REF!</definedName>
    <definedName name="FERMENTATION" localSheetId="4">#REF!</definedName>
    <definedName name="FERMENTATION" localSheetId="15">#REF!</definedName>
    <definedName name="FERMENTATION" localSheetId="16">#REF!</definedName>
    <definedName name="FERMENTATION" localSheetId="0">#REF!</definedName>
    <definedName name="FERMENTATION" localSheetId="1">#REF!</definedName>
    <definedName name="FERMENTATION">#REF!</definedName>
    <definedName name="ff" localSheetId="4">#REF!</definedName>
    <definedName name="ff" localSheetId="16">#REF!</definedName>
    <definedName name="ff" localSheetId="0">#REF!</definedName>
    <definedName name="ff" localSheetId="1">#REF!</definedName>
    <definedName name="ff">#REF!</definedName>
    <definedName name="FILENAME" localSheetId="4">#REF!</definedName>
    <definedName name="FILENAME" localSheetId="15">#REF!</definedName>
    <definedName name="FILENAME" localSheetId="16">#REF!</definedName>
    <definedName name="FILENAME" localSheetId="0">#REF!</definedName>
    <definedName name="FILENAME" localSheetId="1">#REF!</definedName>
    <definedName name="FILENAME">#REF!</definedName>
    <definedName name="gg" localSheetId="4">#REF!</definedName>
    <definedName name="gg" localSheetId="16">#REF!</definedName>
    <definedName name="gg" localSheetId="0">#REF!</definedName>
    <definedName name="gg" localSheetId="1">#REF!</definedName>
    <definedName name="gg">#REF!</definedName>
    <definedName name="ggg" localSheetId="4">#REF!</definedName>
    <definedName name="ggg" localSheetId="16">#REF!</definedName>
    <definedName name="ggg" localSheetId="0">#REF!</definedName>
    <definedName name="ggg" localSheetId="1">#REF!</definedName>
    <definedName name="ggg">#REF!</definedName>
    <definedName name="gggg" localSheetId="4">#REF!</definedName>
    <definedName name="gggg" localSheetId="16">#REF!</definedName>
    <definedName name="gggg" localSheetId="0">#REF!</definedName>
    <definedName name="gggg" localSheetId="1">#REF!</definedName>
    <definedName name="gggg">#REF!</definedName>
    <definedName name="GRAIN_RECEIVING" localSheetId="4">#REF!</definedName>
    <definedName name="GRAIN_RECEIVING" localSheetId="15">#REF!</definedName>
    <definedName name="GRAIN_RECEIVING" localSheetId="16">#REF!</definedName>
    <definedName name="GRAIN_RECEIVING" localSheetId="0">#REF!</definedName>
    <definedName name="GRAIN_RECEIVING" localSheetId="1">#REF!</definedName>
    <definedName name="GRAIN_RECEIVING">#REF!</definedName>
    <definedName name="LABELING" localSheetId="4">#REF!</definedName>
    <definedName name="LABELING" localSheetId="15">#REF!</definedName>
    <definedName name="LABELING" localSheetId="16">#REF!</definedName>
    <definedName name="LABELING" localSheetId="0">#REF!</definedName>
    <definedName name="LABELING" localSheetId="1">#REF!</definedName>
    <definedName name="LABELING">#REF!</definedName>
    <definedName name="LOADING_RACK" localSheetId="4">#REF!</definedName>
    <definedName name="LOADING_RACK" localSheetId="15">#REF!</definedName>
    <definedName name="LOADING_RACK" localSheetId="16">#REF!</definedName>
    <definedName name="LOADING_RACK" localSheetId="0">#REF!</definedName>
    <definedName name="LOADING_RACK" localSheetId="1">#REF!</definedName>
    <definedName name="LOADING_RACK">#REF!</definedName>
    <definedName name="_xlnm.Print_Area" localSheetId="4">'Boiler 1 (Proposed)'!$A$1:$Q$69</definedName>
    <definedName name="_xlnm.Print_Area" localSheetId="5">'Combustion (Existing Calcs)'!$A$1:$M$191</definedName>
    <definedName name="_xlnm.Print_Area" localSheetId="3">'Combustion (Proposed)'!$A$1:$Q$214</definedName>
    <definedName name="_xlnm.Print_Area" localSheetId="10">'EQUI 1, EQUI 2'!$A$1:$O$26</definedName>
    <definedName name="_xlnm.Print_Area" localSheetId="12">'EQUI 18'!$A$1:$O$15</definedName>
    <definedName name="_xlnm.Print_Area" localSheetId="8">'EQUI 20'!$A$1:$J$55</definedName>
    <definedName name="_xlnm.Print_Area" localSheetId="11">'EQUI 3, EQUI 16, EQUI 17'!$A$1:$J$46</definedName>
    <definedName name="_xlnm.Print_Area" localSheetId="13">'EQUI 66, EQUI 8, EQUI 9'!$A$1:$J$45</definedName>
    <definedName name="_xlnm.Print_Area" localSheetId="15">'Facility Emissions Summary 3'!$A$1:$CF$128</definedName>
    <definedName name="_xlnm.Print_Area" localSheetId="16">'Facility Emissions Summary 4'!$A$1:$J$132</definedName>
    <definedName name="_xlnm.Print_Area" localSheetId="14">'FS001, FS002'!$A$1:$N$62</definedName>
    <definedName name="_xlnm.Print_Area" localSheetId="0">Summary!$A$1:$AM$35</definedName>
    <definedName name="_xlnm.Print_Area" localSheetId="1">'Summary (Proposed - Boiler 1)'!$A$1:$AM$23</definedName>
    <definedName name="_xlnm.Print_Area" localSheetId="2">'Summary (Proposed - Boiler 3)'!$A$1:$AM$23</definedName>
    <definedName name="_xlnm.Print_Area" localSheetId="17">'Total HAPs'!$A$1:$N$46</definedName>
    <definedName name="_xlnm.Print_Titles" localSheetId="14">'FS001, FS002'!$1:$11</definedName>
    <definedName name="s" localSheetId="4">#REF!</definedName>
    <definedName name="s" localSheetId="16">#REF!</definedName>
    <definedName name="s" localSheetId="0">#REF!</definedName>
    <definedName name="s" localSheetId="1">#REF!</definedName>
    <definedName name="s">#REF!</definedName>
    <definedName name="sadfsdfsddf" localSheetId="4">#REF!</definedName>
    <definedName name="sadfsdfsddf" localSheetId="16">#REF!</definedName>
    <definedName name="sadfsdfsddf" localSheetId="0">#REF!</definedName>
    <definedName name="sadfsdfsddf" localSheetId="1">#REF!</definedName>
    <definedName name="sadfsdfsddf">#REF!</definedName>
    <definedName name="safsfsd" localSheetId="4">#REF!</definedName>
    <definedName name="safsfsd" localSheetId="16">#REF!</definedName>
    <definedName name="safsfsd" localSheetId="0">#REF!</definedName>
    <definedName name="safsfsd" localSheetId="1">#REF!</definedName>
    <definedName name="safsfsd">#REF!</definedName>
    <definedName name="safsfsfesfas" localSheetId="4">#REF!</definedName>
    <definedName name="safsfsfesfas" localSheetId="0">#REF!</definedName>
    <definedName name="safsfsfesfas" localSheetId="1">#REF!</definedName>
    <definedName name="safsfsfesfas">#REF!</definedName>
    <definedName name="ttt" localSheetId="4">#REF!</definedName>
    <definedName name="ttt" localSheetId="16">#REF!</definedName>
    <definedName name="ttt" localSheetId="0">#REF!</definedName>
    <definedName name="ttt" localSheetId="1">#REF!</definedName>
    <definedName name="ttt">#REF!</definedName>
    <definedName name="VOC_DRYER" localSheetId="4">#REF!</definedName>
    <definedName name="VOC_DRYER" localSheetId="15">#REF!</definedName>
    <definedName name="VOC_DRYER" localSheetId="16">#REF!</definedName>
    <definedName name="VOC_DRYER" localSheetId="0">#REF!</definedName>
    <definedName name="VOC_DRYER" localSheetId="1">#REF!</definedName>
    <definedName name="VOC_DRYER">#REF!</definedName>
  </definedNames>
  <calcPr calcId="145621"/>
</workbook>
</file>

<file path=xl/calcChain.xml><?xml version="1.0" encoding="utf-8"?>
<calcChain xmlns="http://schemas.openxmlformats.org/spreadsheetml/2006/main">
  <c r="S123" i="1" l="1"/>
  <c r="G121" i="15"/>
  <c r="G120" i="15"/>
  <c r="I120" i="15"/>
  <c r="I124" i="15"/>
  <c r="N62" i="1"/>
  <c r="E212" i="1"/>
  <c r="E208" i="1"/>
  <c r="I129" i="1"/>
  <c r="I128" i="1"/>
  <c r="M128" i="1"/>
  <c r="Q128" i="1"/>
  <c r="Q126" i="1"/>
  <c r="L51" i="1"/>
  <c r="S49" i="1"/>
  <c r="S56" i="1"/>
  <c r="S129" i="1"/>
  <c r="S116" i="1"/>
  <c r="S126" i="1"/>
  <c r="M125" i="1"/>
  <c r="M124" i="1"/>
  <c r="M192" i="1"/>
  <c r="E193" i="1"/>
  <c r="E192" i="1"/>
  <c r="E125" i="1"/>
  <c r="E124" i="1"/>
  <c r="R12" i="15" l="1"/>
  <c r="AI7" i="23"/>
  <c r="AH7" i="23"/>
  <c r="AG7" i="23"/>
  <c r="AF7" i="23"/>
  <c r="AE7" i="23"/>
  <c r="AD7" i="23"/>
  <c r="S7" i="23"/>
  <c r="R7" i="23"/>
  <c r="Q7" i="23"/>
  <c r="P7" i="23"/>
  <c r="O7" i="23"/>
  <c r="N7" i="23"/>
  <c r="N21" i="23" s="1"/>
  <c r="D52" i="26"/>
  <c r="D53" i="26"/>
  <c r="D54" i="26"/>
  <c r="D184" i="1"/>
  <c r="E173" i="1"/>
  <c r="E63" i="26"/>
  <c r="W62" i="26"/>
  <c r="E61" i="26"/>
  <c r="E60" i="26"/>
  <c r="W59" i="26"/>
  <c r="E58" i="26"/>
  <c r="F57" i="26"/>
  <c r="E57" i="26"/>
  <c r="E56" i="26"/>
  <c r="C56" i="26"/>
  <c r="F55" i="26"/>
  <c r="E55" i="26"/>
  <c r="E54" i="26"/>
  <c r="E53" i="26"/>
  <c r="E52" i="26"/>
  <c r="E29" i="26"/>
  <c r="H11" i="26"/>
  <c r="F27" i="26" s="1"/>
  <c r="B10" i="26"/>
  <c r="I40" i="26" s="1"/>
  <c r="M40" i="26" s="1"/>
  <c r="B9" i="26"/>
  <c r="B8" i="26"/>
  <c r="G58" i="26" s="1"/>
  <c r="L7" i="26"/>
  <c r="D55" i="26" s="1"/>
  <c r="H7" i="26"/>
  <c r="B7" i="26" s="1"/>
  <c r="AI28" i="24"/>
  <c r="AH28" i="24"/>
  <c r="AH30" i="24" s="1"/>
  <c r="AG28" i="24"/>
  <c r="AF28" i="24"/>
  <c r="AE28" i="24"/>
  <c r="AE30" i="24" s="1"/>
  <c r="AD28" i="24"/>
  <c r="S28" i="24"/>
  <c r="Q28" i="24"/>
  <c r="P28" i="24"/>
  <c r="O28" i="24"/>
  <c r="O30" i="24" s="1"/>
  <c r="N28" i="24"/>
  <c r="AI27" i="24"/>
  <c r="AH27" i="24"/>
  <c r="AG27" i="24"/>
  <c r="P27" i="24"/>
  <c r="P29" i="24" s="1"/>
  <c r="O27" i="24"/>
  <c r="N27" i="24"/>
  <c r="AI26" i="24"/>
  <c r="AI29" i="24" s="1"/>
  <c r="AH26" i="24"/>
  <c r="AH29" i="24" s="1"/>
  <c r="AG26" i="24"/>
  <c r="AF26" i="24"/>
  <c r="AE26" i="24"/>
  <c r="AD26" i="24"/>
  <c r="Z26" i="24"/>
  <c r="Y26" i="24"/>
  <c r="X26" i="24"/>
  <c r="S26" i="24"/>
  <c r="R26" i="24"/>
  <c r="Q26" i="24"/>
  <c r="P26" i="24"/>
  <c r="O26" i="24"/>
  <c r="O29" i="24" s="1"/>
  <c r="N26" i="24"/>
  <c r="N29" i="24" s="1"/>
  <c r="M26" i="24"/>
  <c r="L26" i="24"/>
  <c r="K26" i="24"/>
  <c r="J26" i="24"/>
  <c r="I26" i="24"/>
  <c r="H26" i="24"/>
  <c r="G26" i="24"/>
  <c r="F26" i="24"/>
  <c r="E26" i="24"/>
  <c r="AJ25" i="24"/>
  <c r="X25" i="24"/>
  <c r="P25" i="24"/>
  <c r="Z22" i="24"/>
  <c r="M21" i="24"/>
  <c r="L21" i="24"/>
  <c r="K21" i="24"/>
  <c r="J21" i="24"/>
  <c r="I21" i="24"/>
  <c r="H21" i="24"/>
  <c r="G21" i="24"/>
  <c r="F21" i="24"/>
  <c r="E21" i="24"/>
  <c r="AC20" i="24"/>
  <c r="AB20" i="24"/>
  <c r="AA20" i="24"/>
  <c r="M20" i="24"/>
  <c r="L20" i="24"/>
  <c r="K20" i="24"/>
  <c r="J20" i="24"/>
  <c r="I20" i="24"/>
  <c r="H20" i="24"/>
  <c r="G20" i="24"/>
  <c r="F20" i="24"/>
  <c r="E20" i="24"/>
  <c r="AC19" i="24"/>
  <c r="AB19" i="24"/>
  <c r="AA19" i="24"/>
  <c r="M19" i="24"/>
  <c r="L19" i="24"/>
  <c r="K19" i="24"/>
  <c r="J19" i="24"/>
  <c r="I19" i="24"/>
  <c r="H19" i="24"/>
  <c r="G19" i="24"/>
  <c r="F19" i="24"/>
  <c r="E19" i="24"/>
  <c r="M18" i="24"/>
  <c r="L18" i="24"/>
  <c r="K18" i="24"/>
  <c r="J18" i="24"/>
  <c r="I18" i="24"/>
  <c r="H18" i="24"/>
  <c r="G18" i="24"/>
  <c r="F18" i="24"/>
  <c r="E18" i="24"/>
  <c r="AC17" i="24"/>
  <c r="AB17" i="24"/>
  <c r="AA17" i="24"/>
  <c r="M17" i="24"/>
  <c r="L17" i="24"/>
  <c r="K17" i="24"/>
  <c r="J17" i="24"/>
  <c r="I17" i="24"/>
  <c r="H17" i="24"/>
  <c r="G17" i="24"/>
  <c r="F17" i="24"/>
  <c r="E17" i="24"/>
  <c r="AC16" i="24"/>
  <c r="AB16" i="24"/>
  <c r="AA16" i="24"/>
  <c r="M16" i="24"/>
  <c r="L16" i="24"/>
  <c r="K16" i="24"/>
  <c r="J16" i="24"/>
  <c r="I16" i="24"/>
  <c r="H16" i="24"/>
  <c r="G16" i="24"/>
  <c r="F16" i="24"/>
  <c r="E16" i="24"/>
  <c r="M15" i="24"/>
  <c r="L15" i="24"/>
  <c r="K15" i="24"/>
  <c r="J15" i="24"/>
  <c r="I15" i="24"/>
  <c r="H15" i="24"/>
  <c r="G15" i="24"/>
  <c r="F15" i="24"/>
  <c r="E15" i="24"/>
  <c r="M14" i="24"/>
  <c r="L14" i="24"/>
  <c r="K14" i="24"/>
  <c r="J14" i="24"/>
  <c r="I14" i="24"/>
  <c r="H14" i="24"/>
  <c r="G14" i="24"/>
  <c r="F14" i="24"/>
  <c r="E14" i="24"/>
  <c r="M13" i="24"/>
  <c r="L13" i="24"/>
  <c r="K13" i="24"/>
  <c r="J13" i="24"/>
  <c r="I13" i="24"/>
  <c r="H13" i="24"/>
  <c r="G13" i="24"/>
  <c r="F13" i="24"/>
  <c r="E13" i="24"/>
  <c r="AL12" i="24"/>
  <c r="AK12" i="24"/>
  <c r="AJ12" i="24"/>
  <c r="AI12" i="24"/>
  <c r="AH12" i="24"/>
  <c r="AG12" i="24"/>
  <c r="AF12" i="24"/>
  <c r="AE12" i="24"/>
  <c r="AD12" i="24"/>
  <c r="AC12" i="24"/>
  <c r="AB12" i="24"/>
  <c r="AA12" i="24"/>
  <c r="Z12" i="24"/>
  <c r="Y12" i="24"/>
  <c r="X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M11" i="24"/>
  <c r="L11" i="24"/>
  <c r="K11" i="24"/>
  <c r="J11" i="24"/>
  <c r="I11" i="24"/>
  <c r="H11" i="24"/>
  <c r="G11" i="24"/>
  <c r="F11" i="24"/>
  <c r="E11" i="24"/>
  <c r="AC10" i="24"/>
  <c r="AB10" i="24"/>
  <c r="AA10" i="24"/>
  <c r="M10" i="24"/>
  <c r="L10" i="24"/>
  <c r="K10" i="24"/>
  <c r="J10" i="24"/>
  <c r="I10" i="24"/>
  <c r="H10" i="24"/>
  <c r="G10" i="24"/>
  <c r="F10" i="24"/>
  <c r="E10" i="24"/>
  <c r="AL9" i="24"/>
  <c r="AK9" i="24"/>
  <c r="AJ9" i="24"/>
  <c r="AI9" i="24"/>
  <c r="AI22" i="24" s="1"/>
  <c r="AH9" i="24"/>
  <c r="AG9" i="24"/>
  <c r="AF9" i="24"/>
  <c r="AE9" i="24"/>
  <c r="AE22" i="24" s="1"/>
  <c r="AD9" i="24"/>
  <c r="AC9" i="24"/>
  <c r="AB9" i="24"/>
  <c r="AA9" i="24"/>
  <c r="AA22" i="24" s="1"/>
  <c r="Z9" i="24"/>
  <c r="Y9" i="24"/>
  <c r="X9" i="24"/>
  <c r="S9" i="24"/>
  <c r="S22" i="24" s="1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E9" i="24"/>
  <c r="AL8" i="24"/>
  <c r="AL25" i="24" s="1"/>
  <c r="AK8" i="24"/>
  <c r="AK22" i="24" s="1"/>
  <c r="AJ8" i="24"/>
  <c r="AI8" i="24"/>
  <c r="AI25" i="24" s="1"/>
  <c r="AH8" i="24"/>
  <c r="AH25" i="24" s="1"/>
  <c r="AG8" i="24"/>
  <c r="AG22" i="24" s="1"/>
  <c r="AF8" i="24"/>
  <c r="AF25" i="24" s="1"/>
  <c r="AE8" i="24"/>
  <c r="AE25" i="24" s="1"/>
  <c r="AD8" i="24"/>
  <c r="AD25" i="24" s="1"/>
  <c r="AC8" i="24"/>
  <c r="AC22" i="24" s="1"/>
  <c r="AB8" i="24"/>
  <c r="AB25" i="24" s="1"/>
  <c r="AA8" i="24"/>
  <c r="AA25" i="24" s="1"/>
  <c r="Z8" i="24"/>
  <c r="Z25" i="24" s="1"/>
  <c r="Y8" i="24"/>
  <c r="Y22" i="24" s="1"/>
  <c r="X8" i="24"/>
  <c r="S8" i="24"/>
  <c r="S25" i="24" s="1"/>
  <c r="R8" i="24"/>
  <c r="R25" i="24" s="1"/>
  <c r="Q8" i="24"/>
  <c r="Q22" i="24" s="1"/>
  <c r="P8" i="24"/>
  <c r="O8" i="24"/>
  <c r="O25" i="24" s="1"/>
  <c r="N8" i="24"/>
  <c r="N25" i="24" s="1"/>
  <c r="M8" i="24"/>
  <c r="M25" i="24" s="1"/>
  <c r="L8" i="24"/>
  <c r="L25" i="24" s="1"/>
  <c r="K8" i="24"/>
  <c r="K25" i="24" s="1"/>
  <c r="J8" i="24"/>
  <c r="J25" i="24" s="1"/>
  <c r="I8" i="24"/>
  <c r="I22" i="24" s="1"/>
  <c r="H8" i="24"/>
  <c r="H25" i="24" s="1"/>
  <c r="G8" i="24"/>
  <c r="G25" i="24" s="1"/>
  <c r="F8" i="24"/>
  <c r="F25" i="24" s="1"/>
  <c r="E8" i="24"/>
  <c r="E25" i="24" s="1"/>
  <c r="AI11" i="23"/>
  <c r="AH11" i="23"/>
  <c r="AH21" i="23" s="1"/>
  <c r="AG11" i="23"/>
  <c r="P11" i="23"/>
  <c r="O11" i="23"/>
  <c r="N11" i="23"/>
  <c r="AI8" i="23"/>
  <c r="AI21" i="23" s="1"/>
  <c r="AH8" i="23"/>
  <c r="AG8" i="23"/>
  <c r="AF8" i="23"/>
  <c r="AE8" i="23"/>
  <c r="AD8" i="23"/>
  <c r="Z8" i="23"/>
  <c r="Y8" i="23"/>
  <c r="X8" i="23"/>
  <c r="S8" i="23"/>
  <c r="R8" i="23"/>
  <c r="Q8" i="23"/>
  <c r="P8" i="23"/>
  <c r="O8" i="23"/>
  <c r="O21" i="23" s="1"/>
  <c r="N8" i="23"/>
  <c r="M8" i="23"/>
  <c r="L8" i="23"/>
  <c r="K8" i="23"/>
  <c r="J8" i="23"/>
  <c r="I8" i="23"/>
  <c r="H8" i="23"/>
  <c r="G8" i="23"/>
  <c r="F8" i="23"/>
  <c r="E8" i="23"/>
  <c r="M20" i="23"/>
  <c r="L20" i="23"/>
  <c r="K20" i="23"/>
  <c r="J20" i="23"/>
  <c r="I20" i="23"/>
  <c r="H20" i="23"/>
  <c r="G20" i="23"/>
  <c r="F20" i="23"/>
  <c r="E20" i="23"/>
  <c r="AC19" i="23"/>
  <c r="AB19" i="23"/>
  <c r="AA19" i="23"/>
  <c r="M19" i="23"/>
  <c r="L19" i="23"/>
  <c r="K19" i="23"/>
  <c r="J19" i="23"/>
  <c r="I19" i="23"/>
  <c r="H19" i="23"/>
  <c r="G19" i="23"/>
  <c r="F19" i="23"/>
  <c r="E19" i="23"/>
  <c r="AC18" i="23"/>
  <c r="AB18" i="23"/>
  <c r="AA18" i="23"/>
  <c r="M18" i="23"/>
  <c r="L18" i="23"/>
  <c r="K18" i="23"/>
  <c r="J18" i="23"/>
  <c r="I18" i="23"/>
  <c r="H18" i="23"/>
  <c r="G18" i="23"/>
  <c r="F18" i="23"/>
  <c r="E18" i="23"/>
  <c r="M17" i="23"/>
  <c r="L17" i="23"/>
  <c r="K17" i="23"/>
  <c r="J17" i="23"/>
  <c r="I17" i="23"/>
  <c r="H17" i="23"/>
  <c r="G17" i="23"/>
  <c r="F17" i="23"/>
  <c r="E17" i="23"/>
  <c r="AC16" i="23"/>
  <c r="AB16" i="23"/>
  <c r="AA16" i="23"/>
  <c r="M16" i="23"/>
  <c r="L16" i="23"/>
  <c r="K16" i="23"/>
  <c r="J16" i="23"/>
  <c r="I16" i="23"/>
  <c r="H16" i="23"/>
  <c r="G16" i="23"/>
  <c r="F16" i="23"/>
  <c r="E16" i="23"/>
  <c r="AC15" i="23"/>
  <c r="AB15" i="23"/>
  <c r="AA15" i="23"/>
  <c r="M15" i="23"/>
  <c r="L15" i="23"/>
  <c r="K15" i="23"/>
  <c r="J15" i="23"/>
  <c r="I15" i="23"/>
  <c r="H15" i="23"/>
  <c r="G15" i="23"/>
  <c r="F15" i="23"/>
  <c r="E15" i="23"/>
  <c r="M14" i="23"/>
  <c r="L14" i="23"/>
  <c r="K14" i="23"/>
  <c r="J14" i="23"/>
  <c r="I14" i="23"/>
  <c r="H14" i="23"/>
  <c r="G14" i="23"/>
  <c r="F14" i="23"/>
  <c r="E14" i="23"/>
  <c r="M13" i="23"/>
  <c r="L13" i="23"/>
  <c r="K13" i="23"/>
  <c r="J13" i="23"/>
  <c r="I13" i="23"/>
  <c r="H13" i="23"/>
  <c r="G13" i="23"/>
  <c r="F13" i="23"/>
  <c r="E13" i="23"/>
  <c r="M12" i="23"/>
  <c r="L12" i="23"/>
  <c r="K12" i="23"/>
  <c r="J12" i="23"/>
  <c r="I12" i="23"/>
  <c r="H12" i="23"/>
  <c r="G12" i="23"/>
  <c r="F12" i="23"/>
  <c r="E12" i="23"/>
  <c r="M10" i="23"/>
  <c r="L10" i="23"/>
  <c r="K10" i="23"/>
  <c r="J10" i="23"/>
  <c r="I10" i="23"/>
  <c r="H10" i="23"/>
  <c r="G10" i="23"/>
  <c r="F10" i="23"/>
  <c r="E10" i="23"/>
  <c r="AC9" i="23"/>
  <c r="AB9" i="23"/>
  <c r="AA9" i="23"/>
  <c r="M9" i="23"/>
  <c r="L9" i="23"/>
  <c r="K9" i="23"/>
  <c r="J9" i="23"/>
  <c r="I9" i="23"/>
  <c r="H9" i="23"/>
  <c r="G9" i="23"/>
  <c r="F9" i="23"/>
  <c r="E9" i="23"/>
  <c r="AH22" i="24" l="1"/>
  <c r="AH31" i="24" s="1"/>
  <c r="AG21" i="23"/>
  <c r="AG29" i="24"/>
  <c r="AG31" i="24" s="1"/>
  <c r="P21" i="23"/>
  <c r="E42" i="26"/>
  <c r="I42" i="26" s="1"/>
  <c r="M42" i="26" s="1"/>
  <c r="E47" i="26"/>
  <c r="E43" i="26"/>
  <c r="I43" i="26" s="1"/>
  <c r="M43" i="26" s="1"/>
  <c r="E48" i="26"/>
  <c r="I48" i="26" s="1"/>
  <c r="M48" i="26" s="1"/>
  <c r="E41" i="26"/>
  <c r="I41" i="26" s="1"/>
  <c r="M41" i="26" s="1"/>
  <c r="E46" i="26"/>
  <c r="H54" i="26"/>
  <c r="L54" i="26" s="1"/>
  <c r="E44" i="26"/>
  <c r="I44" i="26" s="1"/>
  <c r="M44" i="26" s="1"/>
  <c r="E49" i="26"/>
  <c r="I49" i="26" s="1"/>
  <c r="M49" i="26" s="1"/>
  <c r="G55" i="26"/>
  <c r="G28" i="26"/>
  <c r="K28" i="26" s="1"/>
  <c r="G30" i="26"/>
  <c r="K30" i="26" s="1"/>
  <c r="H53" i="26"/>
  <c r="L53" i="26" s="1"/>
  <c r="H26" i="26"/>
  <c r="L26" i="26" s="1"/>
  <c r="H29" i="26"/>
  <c r="L29" i="26" s="1"/>
  <c r="H35" i="26"/>
  <c r="L35" i="26" s="1"/>
  <c r="H34" i="26"/>
  <c r="L34" i="26" s="1"/>
  <c r="H28" i="26"/>
  <c r="L28" i="26" s="1"/>
  <c r="I14" i="26"/>
  <c r="M14" i="26" s="1"/>
  <c r="I16" i="26"/>
  <c r="M16" i="26" s="1"/>
  <c r="I20" i="26"/>
  <c r="M20" i="26" s="1"/>
  <c r="I22" i="26"/>
  <c r="M22" i="26" s="1"/>
  <c r="I57" i="26"/>
  <c r="M57" i="26" s="1"/>
  <c r="H55" i="26"/>
  <c r="L55" i="26" s="1"/>
  <c r="I15" i="26"/>
  <c r="M15" i="26" s="1"/>
  <c r="I17" i="26"/>
  <c r="M17" i="26" s="1"/>
  <c r="F42" i="26"/>
  <c r="I54" i="26"/>
  <c r="M54" i="26" s="1"/>
  <c r="I13" i="26"/>
  <c r="M13" i="26" s="1"/>
  <c r="F21" i="26"/>
  <c r="I23" i="26"/>
  <c r="M23" i="26" s="1"/>
  <c r="I29" i="26"/>
  <c r="M29" i="26" s="1"/>
  <c r="I46" i="26"/>
  <c r="M46" i="26" s="1"/>
  <c r="F16" i="26"/>
  <c r="I19" i="26"/>
  <c r="M19" i="26" s="1"/>
  <c r="I21" i="26"/>
  <c r="M21" i="26" s="1"/>
  <c r="F48" i="26"/>
  <c r="F43" i="26"/>
  <c r="F35" i="26"/>
  <c r="F34" i="26"/>
  <c r="F33" i="26"/>
  <c r="F32" i="26"/>
  <c r="F31" i="26"/>
  <c r="F30" i="26"/>
  <c r="F46" i="26"/>
  <c r="F45" i="26"/>
  <c r="F41" i="26"/>
  <c r="F28" i="26"/>
  <c r="B11" i="26"/>
  <c r="J27" i="26" s="1"/>
  <c r="N27" i="26" s="1"/>
  <c r="F38" i="26"/>
  <c r="F29" i="26"/>
  <c r="F51" i="26"/>
  <c r="F37" i="26"/>
  <c r="J37" i="26" s="1"/>
  <c r="N37" i="26" s="1"/>
  <c r="F25" i="26"/>
  <c r="F24" i="26"/>
  <c r="F22" i="26"/>
  <c r="F20" i="26"/>
  <c r="J20" i="26" s="1"/>
  <c r="N20" i="26" s="1"/>
  <c r="F17" i="26"/>
  <c r="F15" i="26"/>
  <c r="F13" i="26"/>
  <c r="F14" i="26"/>
  <c r="J14" i="26" s="1"/>
  <c r="N14" i="26" s="1"/>
  <c r="F19" i="26"/>
  <c r="F49" i="26"/>
  <c r="F47" i="26"/>
  <c r="J21" i="26"/>
  <c r="N21" i="26" s="1"/>
  <c r="F18" i="26"/>
  <c r="F23" i="26"/>
  <c r="F44" i="26"/>
  <c r="K55" i="26"/>
  <c r="F56" i="26"/>
  <c r="K58" i="26"/>
  <c r="I47" i="26"/>
  <c r="M47" i="26" s="1"/>
  <c r="G62" i="26"/>
  <c r="G59" i="26"/>
  <c r="G48" i="26"/>
  <c r="G46" i="26"/>
  <c r="G43" i="26"/>
  <c r="G41" i="26"/>
  <c r="G38" i="26"/>
  <c r="G37" i="26"/>
  <c r="G35" i="26"/>
  <c r="G57" i="26"/>
  <c r="G53" i="26"/>
  <c r="G45" i="26"/>
  <c r="G49" i="26"/>
  <c r="G44" i="26"/>
  <c r="G34" i="26"/>
  <c r="G33" i="26"/>
  <c r="G32" i="26"/>
  <c r="G29" i="26"/>
  <c r="G63" i="26"/>
  <c r="G54" i="26"/>
  <c r="G51" i="26"/>
  <c r="G47" i="26"/>
  <c r="G42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27" i="26"/>
  <c r="G31" i="26"/>
  <c r="I60" i="26"/>
  <c r="H40" i="26"/>
  <c r="H62" i="26"/>
  <c r="L62" i="26" s="1"/>
  <c r="H59" i="26"/>
  <c r="H58" i="26"/>
  <c r="L58" i="26" s="1"/>
  <c r="H39" i="26"/>
  <c r="H38" i="26"/>
  <c r="L38" i="26" s="1"/>
  <c r="H63" i="26"/>
  <c r="L63" i="26" s="1"/>
  <c r="H57" i="26"/>
  <c r="L57" i="26" s="1"/>
  <c r="H23" i="26"/>
  <c r="L23" i="26" s="1"/>
  <c r="H22" i="26"/>
  <c r="L22" i="26" s="1"/>
  <c r="H21" i="26"/>
  <c r="L21" i="26" s="1"/>
  <c r="H20" i="26"/>
  <c r="L20" i="26" s="1"/>
  <c r="H19" i="26"/>
  <c r="L19" i="26" s="1"/>
  <c r="H17" i="26"/>
  <c r="L17" i="26" s="1"/>
  <c r="H16" i="26"/>
  <c r="L16" i="26" s="1"/>
  <c r="H15" i="26"/>
  <c r="L15" i="26" s="1"/>
  <c r="H14" i="26"/>
  <c r="L14" i="26" s="1"/>
  <c r="H13" i="26"/>
  <c r="H52" i="26"/>
  <c r="L52" i="26" s="1"/>
  <c r="H37" i="26"/>
  <c r="L37" i="26" s="1"/>
  <c r="H31" i="26"/>
  <c r="L31" i="26" s="1"/>
  <c r="H27" i="26"/>
  <c r="L27" i="26" s="1"/>
  <c r="G52" i="26"/>
  <c r="D51" i="26"/>
  <c r="H51" i="26" s="1"/>
  <c r="L51" i="26" s="1"/>
  <c r="E51" i="26"/>
  <c r="I51" i="26" s="1"/>
  <c r="M51" i="26" s="1"/>
  <c r="D47" i="26"/>
  <c r="H47" i="26" s="1"/>
  <c r="L47" i="26" s="1"/>
  <c r="D42" i="26"/>
  <c r="H42" i="26" s="1"/>
  <c r="L42" i="26" s="1"/>
  <c r="D56" i="26"/>
  <c r="H56" i="26" s="1"/>
  <c r="L56" i="26" s="1"/>
  <c r="I39" i="26"/>
  <c r="M39" i="26" s="1"/>
  <c r="I62" i="26"/>
  <c r="I58" i="26"/>
  <c r="M58" i="26" s="1"/>
  <c r="I38" i="26"/>
  <c r="M38" i="26" s="1"/>
  <c r="I63" i="26"/>
  <c r="M63" i="26" s="1"/>
  <c r="I52" i="26"/>
  <c r="M52" i="26" s="1"/>
  <c r="I37" i="26"/>
  <c r="M37" i="26" s="1"/>
  <c r="I34" i="26"/>
  <c r="M34" i="26" s="1"/>
  <c r="I31" i="26"/>
  <c r="M31" i="26" s="1"/>
  <c r="I26" i="26"/>
  <c r="M26" i="26" s="1"/>
  <c r="Q26" i="26" s="1"/>
  <c r="I28" i="26"/>
  <c r="M28" i="26" s="1"/>
  <c r="I35" i="26"/>
  <c r="M35" i="26" s="1"/>
  <c r="D43" i="26"/>
  <c r="H43" i="26" s="1"/>
  <c r="L43" i="26" s="1"/>
  <c r="D48" i="26"/>
  <c r="H48" i="26" s="1"/>
  <c r="L48" i="26" s="1"/>
  <c r="G56" i="26"/>
  <c r="I61" i="26"/>
  <c r="M61" i="26" s="1"/>
  <c r="I27" i="26"/>
  <c r="M27" i="26" s="1"/>
  <c r="D41" i="26"/>
  <c r="H41" i="26" s="1"/>
  <c r="L41" i="26" s="1"/>
  <c r="D44" i="26"/>
  <c r="H44" i="26" s="1"/>
  <c r="L44" i="26" s="1"/>
  <c r="D46" i="26"/>
  <c r="H46" i="26" s="1"/>
  <c r="L46" i="26" s="1"/>
  <c r="D49" i="26"/>
  <c r="H49" i="26" s="1"/>
  <c r="L49" i="26" s="1"/>
  <c r="I55" i="26"/>
  <c r="M55" i="26" s="1"/>
  <c r="I56" i="26"/>
  <c r="M56" i="26" s="1"/>
  <c r="I53" i="26"/>
  <c r="M53" i="26" s="1"/>
  <c r="P31" i="24"/>
  <c r="P30" i="24"/>
  <c r="E22" i="24"/>
  <c r="M22" i="24"/>
  <c r="AI31" i="24"/>
  <c r="X22" i="24"/>
  <c r="AB22" i="24"/>
  <c r="AF22" i="24"/>
  <c r="AJ22" i="24"/>
  <c r="F22" i="24"/>
  <c r="N22" i="24"/>
  <c r="N31" i="24" s="1"/>
  <c r="I25" i="24"/>
  <c r="Q25" i="24"/>
  <c r="AC25" i="24"/>
  <c r="AK25" i="24"/>
  <c r="R22" i="24"/>
  <c r="AD22" i="24"/>
  <c r="AL22" i="24"/>
  <c r="AI30" i="24"/>
  <c r="H22" i="24"/>
  <c r="L22" i="24"/>
  <c r="J22" i="24"/>
  <c r="Y25" i="24"/>
  <c r="AG25" i="24"/>
  <c r="G22" i="24"/>
  <c r="K22" i="24"/>
  <c r="O22" i="24"/>
  <c r="O31" i="24" s="1"/>
  <c r="B142" i="1"/>
  <c r="I193" i="1"/>
  <c r="M193" i="1" s="1"/>
  <c r="H139" i="1"/>
  <c r="B73" i="1"/>
  <c r="I126" i="1" s="1"/>
  <c r="B72" i="1"/>
  <c r="B71" i="1"/>
  <c r="G123" i="1"/>
  <c r="K123" i="1" s="1"/>
  <c r="I124" i="1"/>
  <c r="I194" i="1"/>
  <c r="E187" i="1"/>
  <c r="I192" i="1"/>
  <c r="B141" i="1"/>
  <c r="E161" i="1"/>
  <c r="J16" i="26" l="1"/>
  <c r="N16" i="26" s="1"/>
  <c r="J57" i="26"/>
  <c r="N57" i="26" s="1"/>
  <c r="J44" i="26"/>
  <c r="N44" i="26" s="1"/>
  <c r="J47" i="26"/>
  <c r="N47" i="26" s="1"/>
  <c r="J13" i="26"/>
  <c r="J22" i="26"/>
  <c r="N22" i="26" s="1"/>
  <c r="J51" i="26"/>
  <c r="N51" i="26" s="1"/>
  <c r="J28" i="26"/>
  <c r="N28" i="26" s="1"/>
  <c r="Q28" i="26" s="1"/>
  <c r="J30" i="26"/>
  <c r="N30" i="26" s="1"/>
  <c r="J34" i="26"/>
  <c r="N34" i="26" s="1"/>
  <c r="J42" i="26"/>
  <c r="N42" i="26" s="1"/>
  <c r="J56" i="26"/>
  <c r="N56" i="26" s="1"/>
  <c r="J23" i="26"/>
  <c r="N23" i="26" s="1"/>
  <c r="J49" i="26"/>
  <c r="N49" i="26" s="1"/>
  <c r="J15" i="26"/>
  <c r="N15" i="26" s="1"/>
  <c r="J24" i="26"/>
  <c r="N24" i="26" s="1"/>
  <c r="J29" i="26"/>
  <c r="N29" i="26" s="1"/>
  <c r="J41" i="26"/>
  <c r="N41" i="26" s="1"/>
  <c r="J31" i="26"/>
  <c r="N31" i="26" s="1"/>
  <c r="J35" i="26"/>
  <c r="N35" i="26" s="1"/>
  <c r="J55" i="26"/>
  <c r="N55" i="26" s="1"/>
  <c r="J18" i="26"/>
  <c r="N18" i="26" s="1"/>
  <c r="J19" i="26"/>
  <c r="N19" i="26" s="1"/>
  <c r="J17" i="26"/>
  <c r="N17" i="26" s="1"/>
  <c r="J25" i="26"/>
  <c r="N25" i="26" s="1"/>
  <c r="J38" i="26"/>
  <c r="N38" i="26" s="1"/>
  <c r="J45" i="26"/>
  <c r="N45" i="26" s="1"/>
  <c r="J32" i="26"/>
  <c r="N32" i="26" s="1"/>
  <c r="J43" i="26"/>
  <c r="N43" i="26" s="1"/>
  <c r="H65" i="26"/>
  <c r="L65" i="26" s="1"/>
  <c r="L59" i="26"/>
  <c r="H64" i="26"/>
  <c r="L64" i="26" s="1"/>
  <c r="M60" i="26"/>
  <c r="I64" i="26"/>
  <c r="M64" i="26" s="1"/>
  <c r="O14" i="26"/>
  <c r="P14" i="26" s="1"/>
  <c r="K14" i="26"/>
  <c r="Q14" i="26" s="1"/>
  <c r="K18" i="26"/>
  <c r="O22" i="26"/>
  <c r="P22" i="26" s="1"/>
  <c r="K22" i="26"/>
  <c r="O42" i="26"/>
  <c r="P42" i="26" s="1"/>
  <c r="K42" i="26"/>
  <c r="K63" i="26"/>
  <c r="O34" i="26"/>
  <c r="P34" i="26" s="1"/>
  <c r="K34" i="26"/>
  <c r="Q34" i="26" s="1"/>
  <c r="K53" i="26"/>
  <c r="K38" i="26"/>
  <c r="K48" i="26"/>
  <c r="I50" i="26"/>
  <c r="M50" i="26" s="1"/>
  <c r="N13" i="26"/>
  <c r="K56" i="26"/>
  <c r="H50" i="26"/>
  <c r="L50" i="26" s="1"/>
  <c r="L13" i="26"/>
  <c r="K31" i="26"/>
  <c r="K15" i="26"/>
  <c r="K19" i="26"/>
  <c r="K23" i="26"/>
  <c r="Q23" i="26" s="1"/>
  <c r="K47" i="26"/>
  <c r="K29" i="26"/>
  <c r="K44" i="26"/>
  <c r="K57" i="26"/>
  <c r="Q57" i="26" s="1"/>
  <c r="AC7" i="23" s="1"/>
  <c r="O57" i="26"/>
  <c r="O41" i="26"/>
  <c r="P41" i="26" s="1"/>
  <c r="K41" i="26"/>
  <c r="Q41" i="26" s="1"/>
  <c r="G64" i="26"/>
  <c r="G65" i="26"/>
  <c r="K59" i="26"/>
  <c r="Q55" i="26"/>
  <c r="K52" i="26"/>
  <c r="L39" i="26"/>
  <c r="Q39" i="26" s="1"/>
  <c r="O39" i="26"/>
  <c r="P39" i="26" s="1"/>
  <c r="L40" i="26"/>
  <c r="Q40" i="26" s="1"/>
  <c r="O40" i="26"/>
  <c r="P40" i="26" s="1"/>
  <c r="O27" i="26"/>
  <c r="P27" i="26" s="1"/>
  <c r="K27" i="26"/>
  <c r="Q27" i="26" s="1"/>
  <c r="K16" i="26"/>
  <c r="O20" i="26"/>
  <c r="P20" i="26" s="1"/>
  <c r="K20" i="26"/>
  <c r="Q20" i="26" s="1"/>
  <c r="K24" i="26"/>
  <c r="K51" i="26"/>
  <c r="K32" i="26"/>
  <c r="O49" i="26"/>
  <c r="P49" i="26" s="1"/>
  <c r="K49" i="26"/>
  <c r="Q49" i="26" s="1"/>
  <c r="K35" i="26"/>
  <c r="K43" i="26"/>
  <c r="K62" i="26"/>
  <c r="O30" i="26"/>
  <c r="P30" i="26" s="1"/>
  <c r="I65" i="26"/>
  <c r="M65" i="26" s="1"/>
  <c r="M62" i="26"/>
  <c r="G50" i="26"/>
  <c r="O13" i="26"/>
  <c r="P13" i="26" s="1"/>
  <c r="K13" i="26"/>
  <c r="K17" i="26"/>
  <c r="O21" i="26"/>
  <c r="P21" i="26" s="1"/>
  <c r="K21" i="26"/>
  <c r="Q21" i="26" s="1"/>
  <c r="K25" i="26"/>
  <c r="K54" i="26"/>
  <c r="K33" i="26"/>
  <c r="K45" i="26"/>
  <c r="O37" i="26"/>
  <c r="P37" i="26" s="1"/>
  <c r="K37" i="26"/>
  <c r="Q37" i="26" s="1"/>
  <c r="K46" i="26"/>
  <c r="O26" i="26"/>
  <c r="P26" i="26" s="1"/>
  <c r="J63" i="26"/>
  <c r="N63" i="26" s="1"/>
  <c r="J58" i="26"/>
  <c r="N58" i="26" s="1"/>
  <c r="Q58" i="26" s="1"/>
  <c r="Z7" i="23" s="1"/>
  <c r="J52" i="26"/>
  <c r="N52" i="26" s="1"/>
  <c r="J59" i="26"/>
  <c r="J54" i="26"/>
  <c r="N54" i="26" s="1"/>
  <c r="J62" i="26"/>
  <c r="N62" i="26" s="1"/>
  <c r="J53" i="26"/>
  <c r="N53" i="26" s="1"/>
  <c r="J46" i="26"/>
  <c r="N46" i="26" s="1"/>
  <c r="J33" i="26"/>
  <c r="N33" i="26" s="1"/>
  <c r="J48" i="26"/>
  <c r="N48" i="26" s="1"/>
  <c r="Q30" i="26"/>
  <c r="I196" i="1"/>
  <c r="M196" i="1" s="1"/>
  <c r="AA8" i="2"/>
  <c r="AC8" i="2"/>
  <c r="E182" i="15"/>
  <c r="F182" i="15"/>
  <c r="G182" i="15"/>
  <c r="H182" i="15"/>
  <c r="I182" i="15"/>
  <c r="I184" i="15"/>
  <c r="C20" i="18"/>
  <c r="C19" i="18"/>
  <c r="C18" i="18"/>
  <c r="D18" i="18"/>
  <c r="B18" i="18"/>
  <c r="C24" i="18"/>
  <c r="F24" i="18"/>
  <c r="F18" i="18"/>
  <c r="I15" i="2"/>
  <c r="I14" i="2"/>
  <c r="I13" i="2"/>
  <c r="AB8" i="2"/>
  <c r="L15" i="2"/>
  <c r="L14" i="2"/>
  <c r="L13" i="2"/>
  <c r="AB15" i="2"/>
  <c r="AB14" i="2"/>
  <c r="F15" i="2"/>
  <c r="F14" i="2"/>
  <c r="F13" i="2"/>
  <c r="BY43" i="19"/>
  <c r="K35" i="16"/>
  <c r="K30" i="16"/>
  <c r="H35" i="16"/>
  <c r="E35" i="16"/>
  <c r="N35" i="16" s="1"/>
  <c r="BV17" i="19"/>
  <c r="BW17" i="19"/>
  <c r="BV16" i="19"/>
  <c r="BW16" i="19"/>
  <c r="BV15" i="19"/>
  <c r="BW15" i="19"/>
  <c r="BU17" i="19"/>
  <c r="BU16" i="19"/>
  <c r="BU15" i="19"/>
  <c r="BP17" i="19"/>
  <c r="BQ17" i="19"/>
  <c r="BP16" i="19"/>
  <c r="BQ16" i="19"/>
  <c r="BP15" i="19"/>
  <c r="BQ15" i="19"/>
  <c r="BO17" i="19"/>
  <c r="BO16" i="19"/>
  <c r="BO15" i="19"/>
  <c r="H53" i="21"/>
  <c r="G46" i="21"/>
  <c r="C45" i="21"/>
  <c r="C46" i="21"/>
  <c r="D32" i="21"/>
  <c r="C32" i="21"/>
  <c r="E32" i="21"/>
  <c r="D30" i="21"/>
  <c r="D29" i="21"/>
  <c r="D28" i="21"/>
  <c r="D27" i="21"/>
  <c r="J15" i="21"/>
  <c r="C15" i="21"/>
  <c r="C16" i="21"/>
  <c r="P10" i="21"/>
  <c r="B10" i="21"/>
  <c r="P9" i="21"/>
  <c r="B9" i="21"/>
  <c r="P8" i="21"/>
  <c r="B8" i="21"/>
  <c r="H7" i="21"/>
  <c r="J17" i="21"/>
  <c r="B7" i="21"/>
  <c r="P6" i="21"/>
  <c r="B6" i="21"/>
  <c r="P5" i="21"/>
  <c r="B5" i="21"/>
  <c r="H5" i="21"/>
  <c r="I14" i="21"/>
  <c r="C5" i="21"/>
  <c r="C6" i="21"/>
  <c r="C7" i="21"/>
  <c r="C8" i="21"/>
  <c r="C9" i="21"/>
  <c r="C10" i="21"/>
  <c r="H4" i="21"/>
  <c r="J44" i="21"/>
  <c r="B4" i="21"/>
  <c r="H44" i="21"/>
  <c r="H6" i="21"/>
  <c r="H14" i="21"/>
  <c r="H15" i="21"/>
  <c r="I17" i="21"/>
  <c r="I44" i="21"/>
  <c r="J14" i="21"/>
  <c r="H17" i="21"/>
  <c r="F32" i="21"/>
  <c r="I15" i="21"/>
  <c r="I32" i="21"/>
  <c r="L32" i="21"/>
  <c r="G32" i="21"/>
  <c r="I16" i="21"/>
  <c r="H16" i="21"/>
  <c r="J16" i="21"/>
  <c r="C27" i="21"/>
  <c r="E27" i="21"/>
  <c r="C24" i="21"/>
  <c r="C30" i="21"/>
  <c r="E30" i="21"/>
  <c r="C28" i="21"/>
  <c r="E28" i="21"/>
  <c r="C29" i="21"/>
  <c r="E29" i="21"/>
  <c r="C23" i="21"/>
  <c r="C25" i="21"/>
  <c r="E25" i="21"/>
  <c r="G25" i="21"/>
  <c r="F25" i="21"/>
  <c r="H25" i="21"/>
  <c r="C35" i="21"/>
  <c r="E24" i="21"/>
  <c r="G29" i="21"/>
  <c r="G28" i="21"/>
  <c r="G27" i="21"/>
  <c r="G30" i="21"/>
  <c r="M25" i="21"/>
  <c r="J25" i="21"/>
  <c r="M32" i="21"/>
  <c r="J32" i="21"/>
  <c r="H32" i="21"/>
  <c r="E23" i="21"/>
  <c r="C34" i="21"/>
  <c r="H30" i="21"/>
  <c r="H29" i="21"/>
  <c r="H28" i="21"/>
  <c r="H27" i="21"/>
  <c r="F29" i="21"/>
  <c r="F28" i="21"/>
  <c r="F30" i="21"/>
  <c r="F27" i="21"/>
  <c r="I28" i="21"/>
  <c r="L28" i="21"/>
  <c r="N29" i="21"/>
  <c r="K29" i="21"/>
  <c r="N32" i="21"/>
  <c r="K32" i="21"/>
  <c r="M29" i="21"/>
  <c r="J29" i="21"/>
  <c r="I29" i="21"/>
  <c r="L29" i="21"/>
  <c r="N30" i="21"/>
  <c r="K30" i="21"/>
  <c r="M30" i="21"/>
  <c r="J30" i="21"/>
  <c r="G24" i="21"/>
  <c r="F24" i="21"/>
  <c r="H24" i="21"/>
  <c r="I27" i="21"/>
  <c r="L27" i="21"/>
  <c r="N27" i="21"/>
  <c r="K27" i="21"/>
  <c r="E34" i="21"/>
  <c r="E36" i="21"/>
  <c r="B56" i="21"/>
  <c r="D56" i="21"/>
  <c r="M27" i="21"/>
  <c r="J27" i="21"/>
  <c r="B57" i="21"/>
  <c r="D57" i="21"/>
  <c r="E35" i="21"/>
  <c r="I30" i="21"/>
  <c r="L30" i="21"/>
  <c r="N28" i="21"/>
  <c r="K28" i="21"/>
  <c r="G23" i="21"/>
  <c r="H23" i="21"/>
  <c r="F23" i="21"/>
  <c r="M28" i="21"/>
  <c r="J28" i="21"/>
  <c r="N25" i="21"/>
  <c r="K25" i="21"/>
  <c r="I25" i="21"/>
  <c r="L25" i="21"/>
  <c r="F56" i="21"/>
  <c r="G56" i="21"/>
  <c r="D58" i="21"/>
  <c r="E56" i="21"/>
  <c r="L24" i="21"/>
  <c r="I24" i="21"/>
  <c r="F36" i="21"/>
  <c r="I36" i="21"/>
  <c r="L23" i="21"/>
  <c r="I23" i="21"/>
  <c r="K23" i="21"/>
  <c r="H36" i="21"/>
  <c r="K36" i="21"/>
  <c r="N23" i="21"/>
  <c r="G57" i="21"/>
  <c r="F57" i="21"/>
  <c r="E57" i="21"/>
  <c r="F34" i="21"/>
  <c r="G34" i="21"/>
  <c r="H34" i="21"/>
  <c r="G35" i="21"/>
  <c r="F35" i="21"/>
  <c r="H35" i="21"/>
  <c r="M24" i="21"/>
  <c r="J24" i="21"/>
  <c r="J23" i="21"/>
  <c r="M23" i="21"/>
  <c r="K24" i="21"/>
  <c r="N24" i="21"/>
  <c r="J35" i="21"/>
  <c r="M35" i="21"/>
  <c r="K57" i="21"/>
  <c r="H57" i="21"/>
  <c r="G36" i="21"/>
  <c r="J36" i="21"/>
  <c r="I57" i="21"/>
  <c r="L57" i="21"/>
  <c r="K35" i="21"/>
  <c r="N35" i="21"/>
  <c r="J34" i="21"/>
  <c r="M34" i="21"/>
  <c r="M36" i="21"/>
  <c r="J57" i="21"/>
  <c r="M57" i="21"/>
  <c r="L35" i="21"/>
  <c r="L36" i="21"/>
  <c r="I35" i="21"/>
  <c r="I34" i="21"/>
  <c r="L34" i="21"/>
  <c r="N36" i="21"/>
  <c r="E58" i="21"/>
  <c r="H58" i="21"/>
  <c r="K56" i="21"/>
  <c r="H56" i="21"/>
  <c r="N34" i="21"/>
  <c r="K34" i="21"/>
  <c r="J56" i="21"/>
  <c r="M56" i="21"/>
  <c r="M58" i="21"/>
  <c r="G58" i="21"/>
  <c r="J58" i="21"/>
  <c r="I56" i="21"/>
  <c r="L56" i="21"/>
  <c r="F58" i="21"/>
  <c r="I58" i="21"/>
  <c r="L58" i="21"/>
  <c r="K58" i="21"/>
  <c r="AO21" i="19"/>
  <c r="AN21" i="19"/>
  <c r="AM21" i="19"/>
  <c r="AK21" i="19"/>
  <c r="AJ21" i="19"/>
  <c r="AI21" i="19"/>
  <c r="BA21" i="19"/>
  <c r="AO17" i="19"/>
  <c r="AN17" i="19"/>
  <c r="AM17" i="19"/>
  <c r="AK17" i="19"/>
  <c r="AJ17" i="19"/>
  <c r="AI17" i="19"/>
  <c r="AG17" i="19"/>
  <c r="AF17" i="19"/>
  <c r="AE17" i="19"/>
  <c r="AO16" i="19"/>
  <c r="AN16" i="19"/>
  <c r="AM16" i="19"/>
  <c r="AK16" i="19"/>
  <c r="AJ16" i="19"/>
  <c r="AI16" i="19"/>
  <c r="AG16" i="19"/>
  <c r="AF16" i="19"/>
  <c r="AE16" i="19"/>
  <c r="AO15" i="19"/>
  <c r="AN15" i="19"/>
  <c r="AM15" i="19"/>
  <c r="AK15" i="19"/>
  <c r="AJ15" i="19"/>
  <c r="AI15" i="19"/>
  <c r="AG15" i="19"/>
  <c r="AF15" i="19"/>
  <c r="AE15" i="19"/>
  <c r="I21" i="19"/>
  <c r="H21" i="19"/>
  <c r="G21" i="19"/>
  <c r="FO75" i="19"/>
  <c r="FI75" i="19"/>
  <c r="FE75" i="19"/>
  <c r="FA75" i="19"/>
  <c r="EU75" i="19"/>
  <c r="EQ75" i="19"/>
  <c r="EM75" i="19"/>
  <c r="EG75" i="19"/>
  <c r="EC75" i="19"/>
  <c r="DY75" i="19"/>
  <c r="DS75" i="19"/>
  <c r="DO75" i="19"/>
  <c r="DA75" i="19"/>
  <c r="CW75" i="19"/>
  <c r="CQ75" i="19"/>
  <c r="CM75" i="19"/>
  <c r="CI75" i="19"/>
  <c r="CC75" i="19"/>
  <c r="BY75" i="19"/>
  <c r="BU75" i="19"/>
  <c r="BO75" i="19"/>
  <c r="BK75" i="19"/>
  <c r="BG75" i="19"/>
  <c r="BA75" i="19"/>
  <c r="AW75" i="19"/>
  <c r="AS75" i="19"/>
  <c r="AM75" i="19"/>
  <c r="AI75" i="19"/>
  <c r="AE75" i="19"/>
  <c r="Y75" i="19"/>
  <c r="U75" i="19"/>
  <c r="Q75" i="19"/>
  <c r="K75" i="19"/>
  <c r="G75" i="19"/>
  <c r="C75" i="19"/>
  <c r="FO43" i="19"/>
  <c r="FO107" i="19"/>
  <c r="FI43" i="19"/>
  <c r="FI107" i="19"/>
  <c r="FE43" i="19"/>
  <c r="FE107" i="19"/>
  <c r="FA43" i="19"/>
  <c r="FA107" i="19"/>
  <c r="EU43" i="19"/>
  <c r="EU107" i="19"/>
  <c r="EQ43" i="19"/>
  <c r="EQ107" i="19"/>
  <c r="EM43" i="19"/>
  <c r="EM107" i="19"/>
  <c r="EG43" i="19"/>
  <c r="EG107" i="19"/>
  <c r="EC43" i="19"/>
  <c r="EC107" i="19"/>
  <c r="DY43" i="19"/>
  <c r="DY107" i="19"/>
  <c r="DS43" i="19"/>
  <c r="DS107" i="19"/>
  <c r="DO43" i="19"/>
  <c r="DO107" i="19"/>
  <c r="DA43" i="19"/>
  <c r="DA107" i="19"/>
  <c r="CW43" i="19"/>
  <c r="CW107" i="19"/>
  <c r="CQ43" i="19"/>
  <c r="CQ107" i="19"/>
  <c r="CM43" i="19"/>
  <c r="CM107" i="19"/>
  <c r="CI43" i="19"/>
  <c r="CI107" i="19"/>
  <c r="CC43" i="19"/>
  <c r="CC107" i="19"/>
  <c r="BY107" i="19"/>
  <c r="BU43" i="19"/>
  <c r="BU107" i="19"/>
  <c r="BO43" i="19"/>
  <c r="BO107" i="19"/>
  <c r="BK43" i="19"/>
  <c r="BK107" i="19" s="1"/>
  <c r="BG43" i="19"/>
  <c r="BG107" i="19"/>
  <c r="BA43" i="19"/>
  <c r="BA107" i="19"/>
  <c r="AW43" i="19"/>
  <c r="AW107" i="19"/>
  <c r="AS43" i="19"/>
  <c r="AS107" i="19" s="1"/>
  <c r="AM43" i="19"/>
  <c r="AM107" i="19" s="1"/>
  <c r="AI43" i="19"/>
  <c r="AI107" i="19" s="1"/>
  <c r="AE43" i="19"/>
  <c r="AE107" i="19" s="1"/>
  <c r="Y43" i="19"/>
  <c r="Y107" i="19"/>
  <c r="U43" i="19"/>
  <c r="U107" i="19" s="1"/>
  <c r="Q43" i="19"/>
  <c r="Q107" i="19"/>
  <c r="K43" i="19"/>
  <c r="K107" i="19"/>
  <c r="G43" i="19"/>
  <c r="G107" i="19"/>
  <c r="C43" i="19"/>
  <c r="C107" i="19" s="1"/>
  <c r="EE17" i="19"/>
  <c r="ED17" i="19"/>
  <c r="EC17" i="19"/>
  <c r="EE16" i="19"/>
  <c r="ED16" i="19"/>
  <c r="EC16" i="19"/>
  <c r="EE15" i="19"/>
  <c r="ED15" i="19"/>
  <c r="EC15" i="19"/>
  <c r="C188" i="1"/>
  <c r="F187" i="1"/>
  <c r="H143" i="1"/>
  <c r="F161" i="1" s="1"/>
  <c r="F189" i="1"/>
  <c r="E93" i="1"/>
  <c r="E116" i="1"/>
  <c r="E184" i="1"/>
  <c r="E127" i="1"/>
  <c r="I127" i="1" s="1"/>
  <c r="E119" i="1"/>
  <c r="F160" i="1"/>
  <c r="F152" i="1"/>
  <c r="E195" i="1"/>
  <c r="I195" i="1" s="1"/>
  <c r="I197" i="1" s="1"/>
  <c r="M197" i="1" s="1"/>
  <c r="L7" i="1"/>
  <c r="D54" i="1" s="1"/>
  <c r="L70" i="1"/>
  <c r="D119" i="1" s="1"/>
  <c r="L139" i="1"/>
  <c r="D187" i="1" s="1"/>
  <c r="D20" i="18"/>
  <c r="D19" i="18"/>
  <c r="E20" i="18"/>
  <c r="C15" i="18"/>
  <c r="C14" i="18"/>
  <c r="D9" i="18"/>
  <c r="D7" i="18"/>
  <c r="D8" i="18"/>
  <c r="D6" i="18"/>
  <c r="L8" i="18"/>
  <c r="J8" i="18"/>
  <c r="H8" i="18"/>
  <c r="F8" i="18"/>
  <c r="F7" i="18"/>
  <c r="J7" i="18"/>
  <c r="H7" i="18"/>
  <c r="F9" i="18"/>
  <c r="J9" i="18"/>
  <c r="H9" i="18"/>
  <c r="F6" i="18"/>
  <c r="L6" i="18"/>
  <c r="J6" i="18"/>
  <c r="H6" i="18"/>
  <c r="E19" i="18"/>
  <c r="B22" i="18"/>
  <c r="B21" i="18"/>
  <c r="C21" i="18"/>
  <c r="B23" i="18"/>
  <c r="C23" i="18"/>
  <c r="C22" i="18"/>
  <c r="I84" i="1"/>
  <c r="M84" i="1" s="1"/>
  <c r="F19" i="18"/>
  <c r="F20" i="18"/>
  <c r="F21" i="18"/>
  <c r="F22" i="18"/>
  <c r="E120" i="1"/>
  <c r="F23" i="18"/>
  <c r="E54" i="15"/>
  <c r="E188" i="1"/>
  <c r="E121" i="1"/>
  <c r="E189" i="1"/>
  <c r="E185" i="1"/>
  <c r="E117" i="1"/>
  <c r="E190" i="1"/>
  <c r="E122" i="1"/>
  <c r="E186" i="1"/>
  <c r="E118" i="1"/>
  <c r="I149" i="1"/>
  <c r="M149" i="1" s="1"/>
  <c r="I163" i="1"/>
  <c r="I167" i="1"/>
  <c r="I169" i="1"/>
  <c r="M169" i="1" s="1"/>
  <c r="I171" i="1"/>
  <c r="M171" i="1" s="1"/>
  <c r="I159" i="1"/>
  <c r="D186" i="1"/>
  <c r="D185" i="1"/>
  <c r="H124" i="15"/>
  <c r="H184" i="15"/>
  <c r="G184" i="15"/>
  <c r="F184" i="15"/>
  <c r="E184" i="15"/>
  <c r="F124" i="15"/>
  <c r="E124" i="15"/>
  <c r="G124" i="15"/>
  <c r="F11" i="3"/>
  <c r="H11" i="3" s="1"/>
  <c r="AW21" i="19" s="1"/>
  <c r="F23" i="3"/>
  <c r="H23" i="3" s="1"/>
  <c r="I23" i="3" s="1"/>
  <c r="G46" i="10"/>
  <c r="E46" i="10"/>
  <c r="G45" i="10"/>
  <c r="G44" i="10"/>
  <c r="G43" i="10"/>
  <c r="F46" i="10"/>
  <c r="F45" i="10"/>
  <c r="F44" i="10"/>
  <c r="F43" i="10"/>
  <c r="F19" i="10"/>
  <c r="H19" i="10"/>
  <c r="J21" i="10"/>
  <c r="J22" i="10"/>
  <c r="F9" i="10"/>
  <c r="J9" i="10"/>
  <c r="O9" i="9"/>
  <c r="V15" i="19" s="1"/>
  <c r="M10" i="9"/>
  <c r="U16" i="19" s="1"/>
  <c r="F42" i="6"/>
  <c r="F32" i="6"/>
  <c r="H44" i="6"/>
  <c r="H43" i="6"/>
  <c r="H42" i="6"/>
  <c r="H32" i="6"/>
  <c r="I32" i="6" s="1"/>
  <c r="H9" i="6"/>
  <c r="H20" i="6"/>
  <c r="F20" i="6"/>
  <c r="F36" i="5"/>
  <c r="H36" i="5"/>
  <c r="F9" i="6"/>
  <c r="F34" i="6"/>
  <c r="H34" i="6" s="1"/>
  <c r="F33" i="6"/>
  <c r="J33" i="6" s="1"/>
  <c r="F53" i="6" s="1"/>
  <c r="J20" i="6"/>
  <c r="H23" i="6"/>
  <c r="H12" i="6"/>
  <c r="H22" i="6"/>
  <c r="H21" i="6"/>
  <c r="F12" i="6"/>
  <c r="F23" i="6"/>
  <c r="F22" i="6"/>
  <c r="D21" i="6"/>
  <c r="B21" i="6"/>
  <c r="F21" i="6"/>
  <c r="I20" i="6"/>
  <c r="H11" i="6"/>
  <c r="H10" i="6"/>
  <c r="F10" i="6"/>
  <c r="J10" i="6"/>
  <c r="J12" i="6"/>
  <c r="F11" i="6"/>
  <c r="J11" i="6"/>
  <c r="J9" i="6"/>
  <c r="J39" i="5"/>
  <c r="F39" i="5"/>
  <c r="F38" i="5"/>
  <c r="F37" i="5"/>
  <c r="I39" i="5"/>
  <c r="H39" i="5"/>
  <c r="F22" i="10"/>
  <c r="H22" i="10"/>
  <c r="J34" i="10"/>
  <c r="J33" i="10"/>
  <c r="J32" i="10"/>
  <c r="J31" i="10"/>
  <c r="I9" i="7"/>
  <c r="J42" i="6"/>
  <c r="D36" i="5"/>
  <c r="J38" i="5"/>
  <c r="J37" i="5"/>
  <c r="J36" i="5"/>
  <c r="J32" i="6"/>
  <c r="F52" i="6" s="1"/>
  <c r="J23" i="3"/>
  <c r="AB18" i="2" s="1"/>
  <c r="O10" i="11"/>
  <c r="I16" i="2" s="1"/>
  <c r="J20" i="10"/>
  <c r="J19" i="10"/>
  <c r="J11" i="10"/>
  <c r="J10" i="10"/>
  <c r="O10" i="9"/>
  <c r="I11" i="2" s="1"/>
  <c r="B8" i="1"/>
  <c r="F16" i="1" s="1"/>
  <c r="I16" i="1" s="1"/>
  <c r="W194" i="1"/>
  <c r="W191" i="1"/>
  <c r="H7" i="1"/>
  <c r="D40" i="1" s="1"/>
  <c r="D118" i="1"/>
  <c r="D117" i="1"/>
  <c r="D116" i="1"/>
  <c r="D53" i="1"/>
  <c r="D52" i="1"/>
  <c r="D51" i="1"/>
  <c r="E53" i="15"/>
  <c r="E52" i="15"/>
  <c r="C114" i="15"/>
  <c r="C115" i="15"/>
  <c r="C113" i="15"/>
  <c r="D175" i="15"/>
  <c r="D174" i="15"/>
  <c r="D173" i="15"/>
  <c r="D54" i="15"/>
  <c r="D53" i="15"/>
  <c r="D52" i="15"/>
  <c r="B9" i="15"/>
  <c r="F12" i="15"/>
  <c r="B399" i="15"/>
  <c r="B400" i="15"/>
  <c r="B401" i="15"/>
  <c r="D176" i="15"/>
  <c r="H10" i="15"/>
  <c r="E54" i="1"/>
  <c r="F121" i="1"/>
  <c r="F119" i="1"/>
  <c r="E56" i="1"/>
  <c r="H75" i="1"/>
  <c r="H74" i="1"/>
  <c r="G81" i="1"/>
  <c r="H70" i="1"/>
  <c r="E178" i="1" s="1"/>
  <c r="H10" i="1"/>
  <c r="H9" i="1"/>
  <c r="E44" i="1" s="1"/>
  <c r="B10" i="15"/>
  <c r="G30" i="16"/>
  <c r="Q100" i="1"/>
  <c r="H30" i="16" s="1"/>
  <c r="F35" i="16"/>
  <c r="C35" i="16"/>
  <c r="L35" i="16" s="1"/>
  <c r="F30" i="16"/>
  <c r="J30" i="16"/>
  <c r="I30" i="16"/>
  <c r="G35" i="16"/>
  <c r="B140" i="1"/>
  <c r="E183" i="1"/>
  <c r="C550" i="15"/>
  <c r="D566" i="15"/>
  <c r="E566" i="15"/>
  <c r="F566" i="15"/>
  <c r="I538" i="15"/>
  <c r="H538" i="15"/>
  <c r="I537" i="15"/>
  <c r="H537" i="15"/>
  <c r="I536" i="15"/>
  <c r="H536" i="15"/>
  <c r="I535" i="15"/>
  <c r="H535" i="15"/>
  <c r="I534" i="15"/>
  <c r="H534" i="15"/>
  <c r="I533" i="15"/>
  <c r="H533" i="15"/>
  <c r="I532" i="15"/>
  <c r="H532" i="15"/>
  <c r="I531" i="15"/>
  <c r="H531" i="15"/>
  <c r="I530" i="15"/>
  <c r="H530" i="15"/>
  <c r="I529" i="15"/>
  <c r="H529" i="15"/>
  <c r="I528" i="15"/>
  <c r="H528" i="15"/>
  <c r="I526" i="15"/>
  <c r="H526" i="15"/>
  <c r="I525" i="15"/>
  <c r="H525" i="15"/>
  <c r="I524" i="15"/>
  <c r="H524" i="15"/>
  <c r="I523" i="15"/>
  <c r="H523" i="15"/>
  <c r="I522" i="15"/>
  <c r="H522" i="15"/>
  <c r="I521" i="15"/>
  <c r="H521" i="15"/>
  <c r="I520" i="15"/>
  <c r="H520" i="15"/>
  <c r="I519" i="15"/>
  <c r="H519" i="15"/>
  <c r="I518" i="15"/>
  <c r="H518" i="15"/>
  <c r="K517" i="15"/>
  <c r="I516" i="15"/>
  <c r="H516" i="15"/>
  <c r="K516" i="15"/>
  <c r="L516" i="15"/>
  <c r="I515" i="15"/>
  <c r="H515" i="15"/>
  <c r="I514" i="15"/>
  <c r="H514" i="15"/>
  <c r="K514" i="15"/>
  <c r="M514" i="15"/>
  <c r="I513" i="15"/>
  <c r="H513" i="15"/>
  <c r="K513" i="15"/>
  <c r="I512" i="15"/>
  <c r="H512" i="15"/>
  <c r="K512" i="15"/>
  <c r="I511" i="15"/>
  <c r="H511" i="15"/>
  <c r="K511" i="15"/>
  <c r="I510" i="15"/>
  <c r="H510" i="15"/>
  <c r="I509" i="15"/>
  <c r="H509" i="15"/>
  <c r="K509" i="15"/>
  <c r="I508" i="15"/>
  <c r="H508" i="15"/>
  <c r="I507" i="15"/>
  <c r="H507" i="15"/>
  <c r="K507" i="15"/>
  <c r="L507" i="15"/>
  <c r="I506" i="15"/>
  <c r="H506" i="15"/>
  <c r="K506" i="15"/>
  <c r="I505" i="15"/>
  <c r="H505" i="15"/>
  <c r="I504" i="15"/>
  <c r="H504" i="15"/>
  <c r="I503" i="15"/>
  <c r="H503" i="15"/>
  <c r="K503" i="15"/>
  <c r="I501" i="15"/>
  <c r="H501" i="15"/>
  <c r="I500" i="15"/>
  <c r="H500" i="15"/>
  <c r="I499" i="15"/>
  <c r="H499" i="15"/>
  <c r="I498" i="15"/>
  <c r="H498" i="15"/>
  <c r="I497" i="15"/>
  <c r="H497" i="15"/>
  <c r="K497" i="15"/>
  <c r="K496" i="15"/>
  <c r="I495" i="15"/>
  <c r="H495" i="15"/>
  <c r="I494" i="15"/>
  <c r="H494" i="15"/>
  <c r="I493" i="15"/>
  <c r="H493" i="15"/>
  <c r="K493" i="15"/>
  <c r="I492" i="15"/>
  <c r="H492" i="15"/>
  <c r="K492" i="15"/>
  <c r="I491" i="15"/>
  <c r="H491" i="15"/>
  <c r="K491" i="15"/>
  <c r="I490" i="15"/>
  <c r="H490" i="15"/>
  <c r="K490" i="15"/>
  <c r="L490" i="15"/>
  <c r="I489" i="15"/>
  <c r="H489" i="15"/>
  <c r="K489" i="15"/>
  <c r="L489" i="15"/>
  <c r="I488" i="15"/>
  <c r="H488" i="15"/>
  <c r="I487" i="15"/>
  <c r="H487" i="15"/>
  <c r="I486" i="15"/>
  <c r="H486" i="15"/>
  <c r="I485" i="15"/>
  <c r="H485" i="15"/>
  <c r="K485" i="15"/>
  <c r="M485" i="15"/>
  <c r="I484" i="15"/>
  <c r="H484" i="15"/>
  <c r="I483" i="15"/>
  <c r="H483" i="15"/>
  <c r="I481" i="15"/>
  <c r="H481" i="15"/>
  <c r="K481" i="15"/>
  <c r="L481" i="15"/>
  <c r="I480" i="15"/>
  <c r="H480" i="15"/>
  <c r="K480" i="15"/>
  <c r="I479" i="15"/>
  <c r="H479" i="15"/>
  <c r="K479" i="15"/>
  <c r="I478" i="15"/>
  <c r="H478" i="15"/>
  <c r="I477" i="15"/>
  <c r="H477" i="15"/>
  <c r="B475" i="15"/>
  <c r="J532" i="15"/>
  <c r="B474" i="15"/>
  <c r="B473" i="15"/>
  <c r="B472" i="15"/>
  <c r="G538" i="15"/>
  <c r="G464" i="15"/>
  <c r="P464" i="15"/>
  <c r="Q464" i="15"/>
  <c r="R464" i="15"/>
  <c r="F462" i="15"/>
  <c r="G461" i="15"/>
  <c r="P461" i="15"/>
  <c r="Q461" i="15"/>
  <c r="R461" i="15"/>
  <c r="F461" i="15"/>
  <c r="G460" i="15"/>
  <c r="P460" i="15"/>
  <c r="Q460" i="15"/>
  <c r="R460" i="15"/>
  <c r="F458" i="15"/>
  <c r="G457" i="15"/>
  <c r="P457" i="15"/>
  <c r="Q457" i="15"/>
  <c r="R457" i="15"/>
  <c r="F457" i="15"/>
  <c r="G456" i="15"/>
  <c r="P456" i="15"/>
  <c r="Q456" i="15"/>
  <c r="R456" i="15"/>
  <c r="F454" i="15"/>
  <c r="G452" i="15"/>
  <c r="F452" i="15"/>
  <c r="G451" i="15"/>
  <c r="F449" i="15"/>
  <c r="G448" i="15"/>
  <c r="F448" i="15"/>
  <c r="G447" i="15"/>
  <c r="F445" i="15"/>
  <c r="G444" i="15"/>
  <c r="F444" i="15"/>
  <c r="G443" i="15"/>
  <c r="I443" i="15"/>
  <c r="I442" i="15"/>
  <c r="F441" i="15"/>
  <c r="I441" i="15"/>
  <c r="J441" i="15"/>
  <c r="I440" i="15"/>
  <c r="J440" i="15"/>
  <c r="I438" i="15"/>
  <c r="K438" i="15"/>
  <c r="I437" i="15"/>
  <c r="K437" i="15"/>
  <c r="G436" i="15"/>
  <c r="I435" i="15"/>
  <c r="K435" i="15"/>
  <c r="G434" i="15"/>
  <c r="I433" i="15"/>
  <c r="K433" i="15"/>
  <c r="I432" i="15"/>
  <c r="G431" i="15"/>
  <c r="F431" i="15"/>
  <c r="G430" i="15"/>
  <c r="I429" i="15"/>
  <c r="K429" i="15"/>
  <c r="G428" i="15"/>
  <c r="F426" i="15"/>
  <c r="G425" i="15"/>
  <c r="F425" i="15"/>
  <c r="G424" i="15"/>
  <c r="F420" i="15"/>
  <c r="I419" i="15"/>
  <c r="J419" i="15"/>
  <c r="I418" i="15"/>
  <c r="K418" i="15"/>
  <c r="I417" i="15"/>
  <c r="I416" i="15"/>
  <c r="I415" i="15"/>
  <c r="J415" i="15"/>
  <c r="F414" i="15"/>
  <c r="G413" i="15"/>
  <c r="F413" i="15"/>
  <c r="G412" i="15"/>
  <c r="F409" i="15"/>
  <c r="G408" i="15"/>
  <c r="F408" i="15"/>
  <c r="I407" i="15"/>
  <c r="I406" i="15"/>
  <c r="J406" i="15"/>
  <c r="I405" i="15"/>
  <c r="K405" i="15"/>
  <c r="F403" i="15"/>
  <c r="G463" i="15"/>
  <c r="P463" i="15"/>
  <c r="Q463" i="15"/>
  <c r="R463" i="15"/>
  <c r="F464" i="15"/>
  <c r="B131" i="15"/>
  <c r="H130" i="15"/>
  <c r="B130" i="15"/>
  <c r="F176" i="15"/>
  <c r="C116" i="15"/>
  <c r="B71" i="15"/>
  <c r="F118" i="15"/>
  <c r="H70" i="15"/>
  <c r="B70" i="15"/>
  <c r="E120" i="15"/>
  <c r="E55" i="15"/>
  <c r="D55" i="15"/>
  <c r="F49" i="15"/>
  <c r="E44" i="15"/>
  <c r="F31" i="15"/>
  <c r="F20" i="15"/>
  <c r="F56" i="15"/>
  <c r="H8" i="15"/>
  <c r="C109" i="15"/>
  <c r="H7" i="15"/>
  <c r="D176" i="1"/>
  <c r="I464" i="15"/>
  <c r="K464" i="15"/>
  <c r="F103" i="15"/>
  <c r="F95" i="15"/>
  <c r="K406" i="15"/>
  <c r="K419" i="15"/>
  <c r="J429" i="15"/>
  <c r="J435" i="15"/>
  <c r="M516" i="15"/>
  <c r="I31" i="15"/>
  <c r="K31" i="15"/>
  <c r="F81" i="15"/>
  <c r="F122" i="15"/>
  <c r="F77" i="15"/>
  <c r="K415" i="15"/>
  <c r="J418" i="15"/>
  <c r="E116" i="15"/>
  <c r="E95" i="15"/>
  <c r="G95" i="15"/>
  <c r="E79" i="15"/>
  <c r="E77" i="15"/>
  <c r="E99" i="15"/>
  <c r="G99" i="15"/>
  <c r="H99" i="15"/>
  <c r="E82" i="15"/>
  <c r="E74" i="15"/>
  <c r="E89" i="15"/>
  <c r="E119" i="15"/>
  <c r="E114" i="15"/>
  <c r="E97" i="15"/>
  <c r="G97" i="15"/>
  <c r="H97" i="15"/>
  <c r="E73" i="15"/>
  <c r="M511" i="15"/>
  <c r="L511" i="15"/>
  <c r="F29" i="15"/>
  <c r="F41" i="15"/>
  <c r="D47" i="15"/>
  <c r="F61" i="15"/>
  <c r="F76" i="15"/>
  <c r="F82" i="15"/>
  <c r="G82" i="15"/>
  <c r="F94" i="15"/>
  <c r="G101" i="15"/>
  <c r="H101" i="15"/>
  <c r="F105" i="15"/>
  <c r="F109" i="15"/>
  <c r="G483" i="15"/>
  <c r="G533" i="15"/>
  <c r="K533" i="15"/>
  <c r="C112" i="15"/>
  <c r="E112" i="15"/>
  <c r="D164" i="15"/>
  <c r="F164" i="15"/>
  <c r="F26" i="15"/>
  <c r="F33" i="15"/>
  <c r="F54" i="15"/>
  <c r="F60" i="15"/>
  <c r="F78" i="15"/>
  <c r="G78" i="15"/>
  <c r="F89" i="15"/>
  <c r="C104" i="15"/>
  <c r="E104" i="15"/>
  <c r="F113" i="15"/>
  <c r="D167" i="15"/>
  <c r="F167" i="15"/>
  <c r="E109" i="15"/>
  <c r="D43" i="15"/>
  <c r="C108" i="15"/>
  <c r="E108" i="15"/>
  <c r="F15" i="15"/>
  <c r="D42" i="15"/>
  <c r="D48" i="15"/>
  <c r="F53" i="15"/>
  <c r="F73" i="15"/>
  <c r="F88" i="15"/>
  <c r="F98" i="15"/>
  <c r="G98" i="15"/>
  <c r="C102" i="15"/>
  <c r="F107" i="15"/>
  <c r="C110" i="15"/>
  <c r="E110" i="15"/>
  <c r="F114" i="15"/>
  <c r="F119" i="15"/>
  <c r="I452" i="15"/>
  <c r="J452" i="15"/>
  <c r="M491" i="15"/>
  <c r="L491" i="15"/>
  <c r="J524" i="15"/>
  <c r="J437" i="15"/>
  <c r="M489" i="15"/>
  <c r="M490" i="15"/>
  <c r="I539" i="15"/>
  <c r="K483" i="15"/>
  <c r="L483" i="15"/>
  <c r="K440" i="15"/>
  <c r="K538" i="15"/>
  <c r="M538" i="15"/>
  <c r="G530" i="15"/>
  <c r="K530" i="15"/>
  <c r="L530" i="15"/>
  <c r="M479" i="15"/>
  <c r="L479" i="15"/>
  <c r="G500" i="15"/>
  <c r="K500" i="15"/>
  <c r="M500" i="15"/>
  <c r="G528" i="15"/>
  <c r="K528" i="15"/>
  <c r="L528" i="15"/>
  <c r="G536" i="15"/>
  <c r="G537" i="15"/>
  <c r="K537" i="15"/>
  <c r="M537" i="15"/>
  <c r="J405" i="15"/>
  <c r="J433" i="15"/>
  <c r="J438" i="15"/>
  <c r="G478" i="15"/>
  <c r="K478" i="15"/>
  <c r="M481" i="15"/>
  <c r="G487" i="15"/>
  <c r="K487" i="15"/>
  <c r="G505" i="15"/>
  <c r="K505" i="15"/>
  <c r="L505" i="15"/>
  <c r="G510" i="15"/>
  <c r="K510" i="15"/>
  <c r="G524" i="15"/>
  <c r="K524" i="15"/>
  <c r="M524" i="15"/>
  <c r="G525" i="15"/>
  <c r="K525" i="15"/>
  <c r="M525" i="15"/>
  <c r="G532" i="15"/>
  <c r="K532" i="15"/>
  <c r="M532" i="15"/>
  <c r="G508" i="15"/>
  <c r="K508" i="15"/>
  <c r="M508" i="15"/>
  <c r="G520" i="15"/>
  <c r="K520" i="15"/>
  <c r="L520" i="15"/>
  <c r="K441" i="15"/>
  <c r="G482" i="15"/>
  <c r="K482" i="15"/>
  <c r="G494" i="15"/>
  <c r="K494" i="15"/>
  <c r="M494" i="15"/>
  <c r="G498" i="15"/>
  <c r="K498" i="15"/>
  <c r="L498" i="15"/>
  <c r="M507" i="15"/>
  <c r="G518" i="15"/>
  <c r="K518" i="15"/>
  <c r="L518" i="15"/>
  <c r="G521" i="15"/>
  <c r="K521" i="15"/>
  <c r="J536" i="15"/>
  <c r="E178" i="15"/>
  <c r="E175" i="15"/>
  <c r="E170" i="15"/>
  <c r="E168" i="15"/>
  <c r="E165" i="15"/>
  <c r="E163" i="15"/>
  <c r="G161" i="15"/>
  <c r="E154" i="15"/>
  <c r="E153" i="15"/>
  <c r="G153" i="15"/>
  <c r="E152" i="15"/>
  <c r="G152" i="15"/>
  <c r="E147" i="15"/>
  <c r="E145" i="15"/>
  <c r="G145" i="15"/>
  <c r="E144" i="15"/>
  <c r="G144" i="15"/>
  <c r="E140" i="15"/>
  <c r="E135" i="15"/>
  <c r="E181" i="15"/>
  <c r="E177" i="15"/>
  <c r="E174" i="15"/>
  <c r="E158" i="15"/>
  <c r="E151" i="15"/>
  <c r="E150" i="15"/>
  <c r="G150" i="15"/>
  <c r="E143" i="15"/>
  <c r="E139" i="15"/>
  <c r="E138" i="15"/>
  <c r="G138" i="15"/>
  <c r="E134" i="15"/>
  <c r="E172" i="15"/>
  <c r="E166" i="15"/>
  <c r="G166" i="15"/>
  <c r="E176" i="15"/>
  <c r="G176" i="15"/>
  <c r="E173" i="15"/>
  <c r="E167" i="15"/>
  <c r="E164" i="15"/>
  <c r="E133" i="15"/>
  <c r="K416" i="15"/>
  <c r="J416" i="15"/>
  <c r="K432" i="15"/>
  <c r="J432" i="15"/>
  <c r="M505" i="15"/>
  <c r="F181" i="15"/>
  <c r="F177" i="15"/>
  <c r="F174" i="15"/>
  <c r="F160" i="15"/>
  <c r="G160" i="15"/>
  <c r="F159" i="15"/>
  <c r="G159" i="15"/>
  <c r="F158" i="15"/>
  <c r="F151" i="15"/>
  <c r="F146" i="15"/>
  <c r="G146" i="15"/>
  <c r="F143" i="15"/>
  <c r="F139" i="15"/>
  <c r="F134" i="15"/>
  <c r="F180" i="15"/>
  <c r="F173" i="15"/>
  <c r="F157" i="15"/>
  <c r="F149" i="15"/>
  <c r="F142" i="15"/>
  <c r="F137" i="15"/>
  <c r="F133" i="15"/>
  <c r="F178" i="15"/>
  <c r="F175" i="15"/>
  <c r="F154" i="15"/>
  <c r="F147" i="15"/>
  <c r="F140" i="15"/>
  <c r="F135" i="15"/>
  <c r="F179" i="15"/>
  <c r="F155" i="15"/>
  <c r="F148" i="15"/>
  <c r="F141" i="15"/>
  <c r="F136" i="15"/>
  <c r="K442" i="15"/>
  <c r="J442" i="15"/>
  <c r="M506" i="15"/>
  <c r="L506" i="15"/>
  <c r="D595" i="15"/>
  <c r="E595" i="15"/>
  <c r="F595" i="15"/>
  <c r="D591" i="15"/>
  <c r="E591" i="15"/>
  <c r="F591" i="15"/>
  <c r="D587" i="15"/>
  <c r="E587" i="15"/>
  <c r="F587" i="15"/>
  <c r="D583" i="15"/>
  <c r="E583" i="15"/>
  <c r="F583" i="15"/>
  <c r="D579" i="15"/>
  <c r="E579" i="15"/>
  <c r="F579" i="15"/>
  <c r="D575" i="15"/>
  <c r="E575" i="15"/>
  <c r="F575" i="15"/>
  <c r="D571" i="15"/>
  <c r="E571" i="15"/>
  <c r="F571" i="15"/>
  <c r="D567" i="15"/>
  <c r="E567" i="15"/>
  <c r="F567" i="15"/>
  <c r="D563" i="15"/>
  <c r="E563" i="15"/>
  <c r="F563" i="15"/>
  <c r="D559" i="15"/>
  <c r="E559" i="15"/>
  <c r="F559" i="15"/>
  <c r="D555" i="15"/>
  <c r="E555" i="15"/>
  <c r="F555" i="15"/>
  <c r="D596" i="15"/>
  <c r="E596" i="15"/>
  <c r="F596" i="15"/>
  <c r="D592" i="15"/>
  <c r="E592" i="15"/>
  <c r="F592" i="15"/>
  <c r="D588" i="15"/>
  <c r="E588" i="15"/>
  <c r="F588" i="15"/>
  <c r="D584" i="15"/>
  <c r="E584" i="15"/>
  <c r="F584" i="15"/>
  <c r="D580" i="15"/>
  <c r="E580" i="15"/>
  <c r="F580" i="15"/>
  <c r="D576" i="15"/>
  <c r="E576" i="15"/>
  <c r="F576" i="15"/>
  <c r="D572" i="15"/>
  <c r="E572" i="15"/>
  <c r="F572" i="15"/>
  <c r="D568" i="15"/>
  <c r="E568" i="15"/>
  <c r="F568" i="15"/>
  <c r="D564" i="15"/>
  <c r="E564" i="15"/>
  <c r="F564" i="15"/>
  <c r="D560" i="15"/>
  <c r="E560" i="15"/>
  <c r="F560" i="15"/>
  <c r="D556" i="15"/>
  <c r="E556" i="15"/>
  <c r="F556" i="15"/>
  <c r="D594" i="15"/>
  <c r="D586" i="15"/>
  <c r="E586" i="15"/>
  <c r="F586" i="15"/>
  <c r="D578" i="15"/>
  <c r="E578" i="15"/>
  <c r="F578" i="15"/>
  <c r="D570" i="15"/>
  <c r="E570" i="15"/>
  <c r="F570" i="15"/>
  <c r="D562" i="15"/>
  <c r="E562" i="15"/>
  <c r="F562" i="15"/>
  <c r="D554" i="15"/>
  <c r="E554" i="15"/>
  <c r="F554" i="15"/>
  <c r="D593" i="15"/>
  <c r="E593" i="15"/>
  <c r="F593" i="15"/>
  <c r="D577" i="15"/>
  <c r="E577" i="15"/>
  <c r="F577" i="15"/>
  <c r="D569" i="15"/>
  <c r="E569" i="15"/>
  <c r="F569" i="15"/>
  <c r="D561" i="15"/>
  <c r="E561" i="15"/>
  <c r="F561" i="15"/>
  <c r="D553" i="15"/>
  <c r="D589" i="15"/>
  <c r="E589" i="15"/>
  <c r="F589" i="15"/>
  <c r="D581" i="15"/>
  <c r="E581" i="15"/>
  <c r="F581" i="15"/>
  <c r="D573" i="15"/>
  <c r="E573" i="15"/>
  <c r="F573" i="15"/>
  <c r="D565" i="15"/>
  <c r="E565" i="15"/>
  <c r="F565" i="15"/>
  <c r="D557" i="15"/>
  <c r="E557" i="15"/>
  <c r="F557" i="15"/>
  <c r="E122" i="15"/>
  <c r="G122" i="15"/>
  <c r="E118" i="15"/>
  <c r="G118" i="15"/>
  <c r="E121" i="15"/>
  <c r="E117" i="15"/>
  <c r="E113" i="15"/>
  <c r="E94" i="15"/>
  <c r="E88" i="15"/>
  <c r="E81" i="15"/>
  <c r="G81" i="15"/>
  <c r="E76" i="15"/>
  <c r="E91" i="15"/>
  <c r="E87" i="15"/>
  <c r="E86" i="15"/>
  <c r="G86" i="15"/>
  <c r="E80" i="15"/>
  <c r="E75" i="15"/>
  <c r="M483" i="15"/>
  <c r="L493" i="15"/>
  <c r="M493" i="15"/>
  <c r="L497" i="15"/>
  <c r="M497" i="15"/>
  <c r="M528" i="15"/>
  <c r="E179" i="15"/>
  <c r="E142" i="15"/>
  <c r="E149" i="15"/>
  <c r="E157" i="15"/>
  <c r="G157" i="15"/>
  <c r="E169" i="15"/>
  <c r="D574" i="15"/>
  <c r="E574" i="15"/>
  <c r="F574" i="15"/>
  <c r="B7" i="15"/>
  <c r="F16" i="15"/>
  <c r="F21" i="15"/>
  <c r="F32" i="15"/>
  <c r="F40" i="15"/>
  <c r="F44" i="15"/>
  <c r="F46" i="15"/>
  <c r="F52" i="15"/>
  <c r="E83" i="15"/>
  <c r="E90" i="15"/>
  <c r="E100" i="15"/>
  <c r="G100" i="15"/>
  <c r="E102" i="15"/>
  <c r="E115" i="15"/>
  <c r="G115" i="15"/>
  <c r="E141" i="15"/>
  <c r="E148" i="15"/>
  <c r="E155" i="15"/>
  <c r="G155" i="15"/>
  <c r="I425" i="15"/>
  <c r="I444" i="15"/>
  <c r="I461" i="15"/>
  <c r="K536" i="15"/>
  <c r="D582" i="15"/>
  <c r="E582" i="15"/>
  <c r="F582" i="15"/>
  <c r="J464" i="15"/>
  <c r="F58" i="15"/>
  <c r="F48" i="15"/>
  <c r="F43" i="15"/>
  <c r="F34" i="15"/>
  <c r="F27" i="15"/>
  <c r="F22" i="15"/>
  <c r="F18" i="15"/>
  <c r="F17" i="15"/>
  <c r="F13" i="15"/>
  <c r="F59" i="15"/>
  <c r="F55" i="15"/>
  <c r="F47" i="15"/>
  <c r="F42" i="15"/>
  <c r="F36" i="15"/>
  <c r="F28" i="15"/>
  <c r="F24" i="15"/>
  <c r="F23" i="15"/>
  <c r="F19" i="15"/>
  <c r="F14" i="15"/>
  <c r="K417" i="15"/>
  <c r="J417" i="15"/>
  <c r="M503" i="15"/>
  <c r="L503" i="15"/>
  <c r="L513" i="15"/>
  <c r="M513" i="15"/>
  <c r="E136" i="15"/>
  <c r="F30" i="15"/>
  <c r="F37" i="15"/>
  <c r="F45" i="15"/>
  <c r="F51" i="15"/>
  <c r="F57" i="15"/>
  <c r="I99" i="15"/>
  <c r="E137" i="15"/>
  <c r="E162" i="15"/>
  <c r="E180" i="15"/>
  <c r="D558" i="15"/>
  <c r="E558" i="15"/>
  <c r="F558" i="15"/>
  <c r="D590" i="15"/>
  <c r="E590" i="15"/>
  <c r="F590" i="15"/>
  <c r="M496" i="15"/>
  <c r="L496" i="15"/>
  <c r="K407" i="15"/>
  <c r="J407" i="15"/>
  <c r="M480" i="15"/>
  <c r="L480" i="15"/>
  <c r="M517" i="15"/>
  <c r="L517" i="15"/>
  <c r="B8" i="15"/>
  <c r="D44" i="15"/>
  <c r="G44" i="15"/>
  <c r="D49" i="15"/>
  <c r="G49" i="15"/>
  <c r="D51" i="15"/>
  <c r="F74" i="15"/>
  <c r="F79" i="15"/>
  <c r="F83" i="15"/>
  <c r="F84" i="15"/>
  <c r="G84" i="15"/>
  <c r="F85" i="15"/>
  <c r="G85" i="15"/>
  <c r="F90" i="15"/>
  <c r="F106" i="15"/>
  <c r="C107" i="15"/>
  <c r="E107" i="15"/>
  <c r="F108" i="15"/>
  <c r="F110" i="15"/>
  <c r="F115" i="15"/>
  <c r="I431" i="15"/>
  <c r="I448" i="15"/>
  <c r="I457" i="15"/>
  <c r="L485" i="15"/>
  <c r="L514" i="15"/>
  <c r="J520" i="15"/>
  <c r="J530" i="15"/>
  <c r="H539" i="15"/>
  <c r="M492" i="15"/>
  <c r="L492" i="15"/>
  <c r="M509" i="15"/>
  <c r="L509" i="15"/>
  <c r="M512" i="15"/>
  <c r="L512" i="15"/>
  <c r="D172" i="15"/>
  <c r="F172" i="15"/>
  <c r="D170" i="15"/>
  <c r="F170" i="15"/>
  <c r="D168" i="15"/>
  <c r="F168" i="15"/>
  <c r="D165" i="15"/>
  <c r="F165" i="15"/>
  <c r="D163" i="15"/>
  <c r="F163" i="15"/>
  <c r="F121" i="15"/>
  <c r="F117" i="15"/>
  <c r="F120" i="15"/>
  <c r="F116" i="15"/>
  <c r="K443" i="15"/>
  <c r="J443" i="15"/>
  <c r="J537" i="15"/>
  <c r="J533" i="15"/>
  <c r="J528" i="15"/>
  <c r="J525" i="15"/>
  <c r="J521" i="15"/>
  <c r="J518" i="15"/>
  <c r="J538" i="15"/>
  <c r="J534" i="15"/>
  <c r="J531" i="15"/>
  <c r="J529" i="15"/>
  <c r="J522" i="15"/>
  <c r="J501" i="15"/>
  <c r="D41" i="15"/>
  <c r="G41" i="15"/>
  <c r="D46" i="15"/>
  <c r="G46" i="15"/>
  <c r="F75" i="15"/>
  <c r="F80" i="15"/>
  <c r="F87" i="15"/>
  <c r="F91" i="15"/>
  <c r="F92" i="15"/>
  <c r="G92" i="15"/>
  <c r="F93" i="15"/>
  <c r="G93" i="15"/>
  <c r="F102" i="15"/>
  <c r="C103" i="15"/>
  <c r="E103" i="15"/>
  <c r="F104" i="15"/>
  <c r="G104" i="15"/>
  <c r="C105" i="15"/>
  <c r="E105" i="15"/>
  <c r="F112" i="15"/>
  <c r="D162" i="15"/>
  <c r="F162" i="15"/>
  <c r="D169" i="15"/>
  <c r="F169" i="15"/>
  <c r="I408" i="15"/>
  <c r="I413" i="15"/>
  <c r="J523" i="15"/>
  <c r="J535" i="15"/>
  <c r="I540" i="15"/>
  <c r="G403" i="15"/>
  <c r="I403" i="15"/>
  <c r="F404" i="15"/>
  <c r="G409" i="15"/>
  <c r="I409" i="15"/>
  <c r="F410" i="15"/>
  <c r="G414" i="15"/>
  <c r="I414" i="15"/>
  <c r="G420" i="15"/>
  <c r="I420" i="15"/>
  <c r="F421" i="15"/>
  <c r="G426" i="15"/>
  <c r="I426" i="15"/>
  <c r="F427" i="15"/>
  <c r="G439" i="15"/>
  <c r="I439" i="15"/>
  <c r="G445" i="15"/>
  <c r="I445" i="15"/>
  <c r="F446" i="15"/>
  <c r="G449" i="15"/>
  <c r="I449" i="15"/>
  <c r="F450" i="15"/>
  <c r="G454" i="15"/>
  <c r="P454" i="15"/>
  <c r="Q454" i="15"/>
  <c r="R454" i="15"/>
  <c r="F455" i="15"/>
  <c r="G458" i="15"/>
  <c r="P458" i="15"/>
  <c r="Q458" i="15"/>
  <c r="R458" i="15"/>
  <c r="F459" i="15"/>
  <c r="G462" i="15"/>
  <c r="I462" i="15"/>
  <c r="F463" i="15"/>
  <c r="I463" i="15"/>
  <c r="G477" i="15"/>
  <c r="K477" i="15"/>
  <c r="G486" i="15"/>
  <c r="K486" i="15"/>
  <c r="G488" i="15"/>
  <c r="K488" i="15"/>
  <c r="G502" i="15"/>
  <c r="K502" i="15"/>
  <c r="G515" i="15"/>
  <c r="K515" i="15"/>
  <c r="G523" i="15"/>
  <c r="K523" i="15"/>
  <c r="G535" i="15"/>
  <c r="K535" i="15"/>
  <c r="H540" i="15"/>
  <c r="G404" i="15"/>
  <c r="G410" i="15"/>
  <c r="G411" i="15"/>
  <c r="I411" i="15"/>
  <c r="F412" i="15"/>
  <c r="I412" i="15"/>
  <c r="G421" i="15"/>
  <c r="G422" i="15"/>
  <c r="I422" i="15"/>
  <c r="G423" i="15"/>
  <c r="I423" i="15"/>
  <c r="F424" i="15"/>
  <c r="I424" i="15"/>
  <c r="G427" i="15"/>
  <c r="F428" i="15"/>
  <c r="I428" i="15"/>
  <c r="F430" i="15"/>
  <c r="I430" i="15"/>
  <c r="F434" i="15"/>
  <c r="I434" i="15"/>
  <c r="F436" i="15"/>
  <c r="I436" i="15"/>
  <c r="G446" i="15"/>
  <c r="F447" i="15"/>
  <c r="I447" i="15"/>
  <c r="G450" i="15"/>
  <c r="F451" i="15"/>
  <c r="I451" i="15"/>
  <c r="G455" i="15"/>
  <c r="P455" i="15"/>
  <c r="Q455" i="15"/>
  <c r="R455" i="15"/>
  <c r="F456" i="15"/>
  <c r="I456" i="15"/>
  <c r="G459" i="15"/>
  <c r="P459" i="15"/>
  <c r="Q459" i="15"/>
  <c r="R459" i="15"/>
  <c r="F460" i="15"/>
  <c r="I460" i="15"/>
  <c r="G484" i="15"/>
  <c r="K484" i="15"/>
  <c r="G495" i="15"/>
  <c r="K495" i="15"/>
  <c r="G499" i="15"/>
  <c r="K499" i="15"/>
  <c r="G501" i="15"/>
  <c r="K501" i="15"/>
  <c r="G504" i="15"/>
  <c r="K504" i="15"/>
  <c r="G519" i="15"/>
  <c r="K519" i="15"/>
  <c r="G522" i="15"/>
  <c r="K522" i="15"/>
  <c r="G526" i="15"/>
  <c r="K526" i="15"/>
  <c r="G529" i="15"/>
  <c r="K529" i="15"/>
  <c r="L529" i="15"/>
  <c r="G531" i="15"/>
  <c r="K531" i="15"/>
  <c r="L531" i="15"/>
  <c r="G534" i="15"/>
  <c r="K534" i="15"/>
  <c r="H54" i="15"/>
  <c r="H12" i="15"/>
  <c r="H44" i="15"/>
  <c r="I44" i="15"/>
  <c r="F63" i="15"/>
  <c r="H52" i="15"/>
  <c r="L525" i="15"/>
  <c r="G113" i="15"/>
  <c r="I113" i="15"/>
  <c r="G77" i="15"/>
  <c r="I77" i="15"/>
  <c r="G79" i="15"/>
  <c r="G109" i="15"/>
  <c r="H109" i="15"/>
  <c r="G89" i="15"/>
  <c r="H89" i="15"/>
  <c r="G108" i="15"/>
  <c r="L500" i="15"/>
  <c r="G164" i="15"/>
  <c r="I164" i="15"/>
  <c r="J31" i="15"/>
  <c r="G94" i="15"/>
  <c r="H94" i="15"/>
  <c r="L532" i="15"/>
  <c r="K452" i="15"/>
  <c r="G167" i="15"/>
  <c r="H167" i="15"/>
  <c r="G107" i="15"/>
  <c r="H107" i="15"/>
  <c r="M518" i="15"/>
  <c r="G114" i="15"/>
  <c r="I29" i="15"/>
  <c r="K29" i="15"/>
  <c r="G51" i="15"/>
  <c r="G148" i="15"/>
  <c r="I148" i="15"/>
  <c r="G539" i="15"/>
  <c r="I109" i="15"/>
  <c r="G74" i="15"/>
  <c r="I74" i="15"/>
  <c r="I24" i="15"/>
  <c r="J24" i="15"/>
  <c r="I17" i="15"/>
  <c r="J17" i="15"/>
  <c r="I32" i="15"/>
  <c r="J32" i="15"/>
  <c r="G42" i="15"/>
  <c r="L508" i="15"/>
  <c r="G173" i="15"/>
  <c r="G139" i="15"/>
  <c r="H139" i="15"/>
  <c r="G158" i="15"/>
  <c r="H158" i="15"/>
  <c r="G147" i="15"/>
  <c r="E111" i="15"/>
  <c r="G111" i="15"/>
  <c r="I23" i="15"/>
  <c r="K23" i="15"/>
  <c r="H53" i="15"/>
  <c r="H28" i="15"/>
  <c r="G103" i="15"/>
  <c r="I103" i="15"/>
  <c r="G110" i="15"/>
  <c r="H110" i="15"/>
  <c r="F50" i="15"/>
  <c r="G88" i="15"/>
  <c r="H88" i="15"/>
  <c r="I101" i="15"/>
  <c r="G175" i="15"/>
  <c r="H175" i="15"/>
  <c r="H78" i="15"/>
  <c r="I78" i="15"/>
  <c r="I455" i="15"/>
  <c r="J455" i="15"/>
  <c r="I410" i="15"/>
  <c r="K410" i="15"/>
  <c r="I97" i="15"/>
  <c r="G106" i="15"/>
  <c r="H106" i="15"/>
  <c r="G83" i="15"/>
  <c r="I83" i="15"/>
  <c r="G169" i="15"/>
  <c r="I169" i="15"/>
  <c r="G134" i="15"/>
  <c r="I134" i="15"/>
  <c r="G177" i="15"/>
  <c r="G165" i="15"/>
  <c r="I165" i="15"/>
  <c r="G178" i="15"/>
  <c r="F111" i="15"/>
  <c r="G119" i="15"/>
  <c r="G116" i="15"/>
  <c r="H114" i="15"/>
  <c r="H95" i="15"/>
  <c r="I95" i="15"/>
  <c r="I446" i="15"/>
  <c r="J446" i="15"/>
  <c r="G162" i="15"/>
  <c r="H162" i="15"/>
  <c r="G90" i="15"/>
  <c r="G76" i="15"/>
  <c r="H76" i="15"/>
  <c r="G174" i="15"/>
  <c r="H174" i="15"/>
  <c r="H98" i="15"/>
  <c r="I98" i="15"/>
  <c r="G133" i="15"/>
  <c r="E171" i="15"/>
  <c r="G73" i="15"/>
  <c r="G105" i="15"/>
  <c r="H105" i="15"/>
  <c r="J540" i="15"/>
  <c r="G117" i="15"/>
  <c r="F171" i="15"/>
  <c r="G151" i="15"/>
  <c r="H151" i="15"/>
  <c r="G181" i="15"/>
  <c r="I181" i="15"/>
  <c r="G154" i="15"/>
  <c r="H154" i="15"/>
  <c r="G168" i="15"/>
  <c r="I168" i="15"/>
  <c r="M520" i="15"/>
  <c r="L494" i="15"/>
  <c r="L538" i="15"/>
  <c r="M498" i="15"/>
  <c r="L524" i="15"/>
  <c r="L510" i="15"/>
  <c r="M510" i="15"/>
  <c r="L482" i="15"/>
  <c r="M482" i="15"/>
  <c r="L537" i="15"/>
  <c r="G540" i="15"/>
  <c r="I466" i="15"/>
  <c r="I465" i="15"/>
  <c r="K462" i="15"/>
  <c r="J462" i="15"/>
  <c r="J445" i="15"/>
  <c r="K445" i="15"/>
  <c r="J426" i="15"/>
  <c r="K426" i="15"/>
  <c r="J414" i="15"/>
  <c r="K414" i="15"/>
  <c r="K403" i="15"/>
  <c r="J403" i="15"/>
  <c r="I104" i="15"/>
  <c r="H104" i="15"/>
  <c r="H108" i="15"/>
  <c r="I108" i="15"/>
  <c r="L522" i="15"/>
  <c r="M522" i="15"/>
  <c r="K434" i="15"/>
  <c r="J434" i="15"/>
  <c r="K412" i="15"/>
  <c r="J412" i="15"/>
  <c r="K463" i="15"/>
  <c r="J463" i="15"/>
  <c r="J413" i="15"/>
  <c r="K413" i="15"/>
  <c r="J457" i="15"/>
  <c r="K457" i="15"/>
  <c r="I162" i="15"/>
  <c r="K449" i="15"/>
  <c r="J449" i="15"/>
  <c r="H74" i="15"/>
  <c r="M533" i="15"/>
  <c r="L533" i="15"/>
  <c r="H119" i="15"/>
  <c r="F183" i="15"/>
  <c r="I146" i="15"/>
  <c r="H146" i="15"/>
  <c r="I160" i="15"/>
  <c r="H160" i="15"/>
  <c r="H133" i="15"/>
  <c r="I133" i="15"/>
  <c r="H176" i="15"/>
  <c r="I176" i="15"/>
  <c r="H138" i="15"/>
  <c r="I138" i="15"/>
  <c r="I151" i="15"/>
  <c r="I145" i="15"/>
  <c r="H145" i="15"/>
  <c r="I154" i="15"/>
  <c r="H168" i="15"/>
  <c r="L526" i="15"/>
  <c r="M526" i="15"/>
  <c r="K460" i="15"/>
  <c r="J460" i="15"/>
  <c r="K436" i="15"/>
  <c r="J436" i="15"/>
  <c r="M515" i="15"/>
  <c r="L515" i="15"/>
  <c r="H103" i="15"/>
  <c r="H85" i="15"/>
  <c r="I85" i="15"/>
  <c r="G180" i="15"/>
  <c r="E183" i="15"/>
  <c r="K17" i="15"/>
  <c r="H155" i="15"/>
  <c r="I155" i="15"/>
  <c r="I90" i="15"/>
  <c r="I81" i="15"/>
  <c r="H81" i="15"/>
  <c r="I122" i="15"/>
  <c r="M464" i="15"/>
  <c r="H122" i="15"/>
  <c r="I159" i="15"/>
  <c r="H159" i="15"/>
  <c r="H134" i="15"/>
  <c r="H150" i="15"/>
  <c r="I150" i="15"/>
  <c r="H177" i="15"/>
  <c r="I144" i="15"/>
  <c r="H144" i="15"/>
  <c r="I153" i="15"/>
  <c r="H153" i="15"/>
  <c r="L504" i="15"/>
  <c r="M504" i="15"/>
  <c r="L484" i="15"/>
  <c r="M484" i="15"/>
  <c r="K428" i="15"/>
  <c r="J428" i="15"/>
  <c r="K422" i="15"/>
  <c r="J422" i="15"/>
  <c r="L523" i="15"/>
  <c r="M523" i="15"/>
  <c r="M486" i="15"/>
  <c r="L486" i="15"/>
  <c r="J439" i="15"/>
  <c r="K439" i="15"/>
  <c r="I92" i="15"/>
  <c r="H92" i="15"/>
  <c r="J431" i="15"/>
  <c r="K431" i="15"/>
  <c r="H77" i="15"/>
  <c r="M536" i="15"/>
  <c r="K539" i="15"/>
  <c r="L536" i="15"/>
  <c r="K540" i="15"/>
  <c r="J425" i="15"/>
  <c r="K425" i="15"/>
  <c r="I115" i="15"/>
  <c r="H115" i="15"/>
  <c r="H100" i="15"/>
  <c r="I100" i="15"/>
  <c r="H60" i="15"/>
  <c r="H56" i="15"/>
  <c r="H46" i="15"/>
  <c r="H41" i="15"/>
  <c r="H39" i="15"/>
  <c r="H37" i="15"/>
  <c r="H30" i="15"/>
  <c r="H25" i="15"/>
  <c r="H20" i="15"/>
  <c r="H15" i="15"/>
  <c r="H61" i="15"/>
  <c r="H57" i="15"/>
  <c r="H51" i="15"/>
  <c r="H49" i="15"/>
  <c r="H45" i="15"/>
  <c r="H40" i="15"/>
  <c r="H35" i="15"/>
  <c r="H33" i="15"/>
  <c r="H26" i="15"/>
  <c r="H21" i="15"/>
  <c r="H16" i="15"/>
  <c r="H59" i="15"/>
  <c r="H43" i="15"/>
  <c r="H38" i="15"/>
  <c r="H34" i="15"/>
  <c r="H27" i="15"/>
  <c r="H18" i="15"/>
  <c r="H13" i="15"/>
  <c r="H42" i="15"/>
  <c r="H19" i="15"/>
  <c r="H58" i="15"/>
  <c r="H36" i="15"/>
  <c r="H55" i="15"/>
  <c r="H47" i="15"/>
  <c r="H22" i="15"/>
  <c r="H48" i="15"/>
  <c r="H14" i="15"/>
  <c r="I76" i="15"/>
  <c r="H113" i="15"/>
  <c r="I118" i="15"/>
  <c r="H118" i="15"/>
  <c r="E594" i="15"/>
  <c r="D597" i="15"/>
  <c r="D598" i="15"/>
  <c r="I167" i="15"/>
  <c r="I152" i="15"/>
  <c r="H152" i="15"/>
  <c r="F465" i="15"/>
  <c r="G87" i="15"/>
  <c r="I459" i="15"/>
  <c r="I450" i="15"/>
  <c r="I404" i="15"/>
  <c r="J539" i="15"/>
  <c r="G136" i="15"/>
  <c r="I454" i="15"/>
  <c r="G149" i="15"/>
  <c r="G179" i="15"/>
  <c r="G80" i="15"/>
  <c r="G172" i="15"/>
  <c r="G143" i="15"/>
  <c r="G140" i="15"/>
  <c r="G163" i="15"/>
  <c r="L534" i="15"/>
  <c r="M534" i="15"/>
  <c r="L499" i="15"/>
  <c r="M499" i="15"/>
  <c r="K424" i="15"/>
  <c r="J424" i="15"/>
  <c r="M502" i="15"/>
  <c r="L502" i="15"/>
  <c r="M478" i="15"/>
  <c r="L478" i="15"/>
  <c r="J409" i="15"/>
  <c r="K409" i="15"/>
  <c r="H84" i="15"/>
  <c r="I84" i="15"/>
  <c r="J461" i="15"/>
  <c r="K461" i="15"/>
  <c r="H169" i="15"/>
  <c r="H79" i="15"/>
  <c r="I79" i="15"/>
  <c r="E553" i="15"/>
  <c r="D585" i="15"/>
  <c r="L501" i="15"/>
  <c r="M501" i="15"/>
  <c r="K451" i="15"/>
  <c r="J451" i="15"/>
  <c r="M477" i="15"/>
  <c r="L477" i="15"/>
  <c r="K527" i="15"/>
  <c r="M487" i="15"/>
  <c r="L487" i="15"/>
  <c r="H86" i="15"/>
  <c r="I86" i="15"/>
  <c r="E123" i="15"/>
  <c r="L519" i="15"/>
  <c r="M519" i="15"/>
  <c r="L495" i="15"/>
  <c r="M495" i="15"/>
  <c r="K456" i="15"/>
  <c r="J456" i="15"/>
  <c r="K447" i="15"/>
  <c r="J447" i="15"/>
  <c r="K430" i="15"/>
  <c r="J430" i="15"/>
  <c r="K423" i="15"/>
  <c r="J423" i="15"/>
  <c r="K411" i="15"/>
  <c r="J411" i="15"/>
  <c r="L535" i="15"/>
  <c r="M535" i="15"/>
  <c r="M488" i="15"/>
  <c r="L488" i="15"/>
  <c r="P462" i="15"/>
  <c r="Q462" i="15"/>
  <c r="R462" i="15"/>
  <c r="G466" i="15"/>
  <c r="P466" i="15"/>
  <c r="Q466" i="15"/>
  <c r="R466" i="15"/>
  <c r="G465" i="15"/>
  <c r="P465" i="15"/>
  <c r="Q465" i="15"/>
  <c r="R465" i="15"/>
  <c r="J408" i="15"/>
  <c r="K408" i="15"/>
  <c r="I105" i="15"/>
  <c r="I93" i="15"/>
  <c r="H93" i="15"/>
  <c r="F123" i="15"/>
  <c r="J448" i="15"/>
  <c r="K448" i="15"/>
  <c r="G59" i="15"/>
  <c r="G36" i="15"/>
  <c r="G28" i="15"/>
  <c r="G19" i="15"/>
  <c r="G14" i="15"/>
  <c r="G60" i="15"/>
  <c r="G56" i="15"/>
  <c r="G39" i="15"/>
  <c r="G37" i="15"/>
  <c r="G30" i="15"/>
  <c r="G25" i="15"/>
  <c r="G20" i="15"/>
  <c r="G15" i="15"/>
  <c r="G58" i="15"/>
  <c r="I58" i="15"/>
  <c r="G54" i="15"/>
  <c r="I54" i="15"/>
  <c r="G33" i="15"/>
  <c r="G26" i="15"/>
  <c r="G52" i="15"/>
  <c r="I52" i="15"/>
  <c r="G48" i="15"/>
  <c r="G21" i="15"/>
  <c r="G16" i="15"/>
  <c r="G61" i="15"/>
  <c r="G53" i="15"/>
  <c r="G27" i="15"/>
  <c r="I27" i="15"/>
  <c r="G13" i="15"/>
  <c r="G57" i="15"/>
  <c r="G45" i="15"/>
  <c r="G22" i="15"/>
  <c r="G43" i="15"/>
  <c r="G38" i="15"/>
  <c r="G34" i="15"/>
  <c r="G18" i="15"/>
  <c r="G12" i="15"/>
  <c r="I89" i="15"/>
  <c r="K420" i="15"/>
  <c r="J420" i="15"/>
  <c r="F62" i="15"/>
  <c r="J444" i="15"/>
  <c r="K444" i="15"/>
  <c r="M521" i="15"/>
  <c r="L521" i="15"/>
  <c r="I157" i="15"/>
  <c r="H157" i="15"/>
  <c r="H82" i="15"/>
  <c r="I82" i="15"/>
  <c r="H164" i="15"/>
  <c r="I166" i="15"/>
  <c r="H166" i="15"/>
  <c r="I139" i="15"/>
  <c r="I147" i="15"/>
  <c r="H147" i="15"/>
  <c r="I161" i="15"/>
  <c r="H161" i="15"/>
  <c r="I427" i="15"/>
  <c r="G112" i="15"/>
  <c r="G142" i="15"/>
  <c r="I421" i="15"/>
  <c r="I458" i="15"/>
  <c r="G137" i="15"/>
  <c r="G47" i="15"/>
  <c r="F466" i="15"/>
  <c r="G141" i="15"/>
  <c r="G102" i="15"/>
  <c r="G55" i="15"/>
  <c r="I55" i="15"/>
  <c r="G75" i="15"/>
  <c r="G91" i="15"/>
  <c r="G135" i="15"/>
  <c r="G170" i="15"/>
  <c r="J23" i="15"/>
  <c r="G63" i="15"/>
  <c r="H63" i="15"/>
  <c r="I53" i="15"/>
  <c r="H117" i="15"/>
  <c r="J410" i="15"/>
  <c r="I51" i="15"/>
  <c r="K51" i="15"/>
  <c r="I117" i="15"/>
  <c r="I110" i="15"/>
  <c r="I119" i="15"/>
  <c r="I94" i="15"/>
  <c r="K32" i="15"/>
  <c r="J29" i="15"/>
  <c r="I88" i="15"/>
  <c r="K24" i="15"/>
  <c r="H148" i="15"/>
  <c r="I107" i="15"/>
  <c r="G171" i="15"/>
  <c r="I40" i="15"/>
  <c r="K40" i="15"/>
  <c r="H90" i="15"/>
  <c r="H50" i="15"/>
  <c r="I35" i="15"/>
  <c r="K35" i="15"/>
  <c r="G50" i="15"/>
  <c r="H165" i="15"/>
  <c r="I28" i="15"/>
  <c r="H83" i="15"/>
  <c r="I178" i="15"/>
  <c r="H181" i="15"/>
  <c r="I175" i="15"/>
  <c r="K446" i="15"/>
  <c r="I16" i="15"/>
  <c r="J16" i="15"/>
  <c r="K455" i="15"/>
  <c r="M455" i="15"/>
  <c r="I158" i="15"/>
  <c r="I45" i="15"/>
  <c r="J45" i="15"/>
  <c r="H178" i="15"/>
  <c r="H116" i="15"/>
  <c r="K58" i="15"/>
  <c r="I57" i="15"/>
  <c r="I106" i="15"/>
  <c r="I174" i="15"/>
  <c r="I35" i="16"/>
  <c r="H171" i="15"/>
  <c r="I171" i="15"/>
  <c r="I177" i="15"/>
  <c r="I30" i="15"/>
  <c r="K30" i="15"/>
  <c r="M460" i="15"/>
  <c r="I116" i="15"/>
  <c r="I46" i="15"/>
  <c r="J46" i="15"/>
  <c r="I34" i="15"/>
  <c r="K34" i="15"/>
  <c r="I73" i="15"/>
  <c r="H73" i="15"/>
  <c r="I12" i="15"/>
  <c r="J12" i="15"/>
  <c r="H111" i="15"/>
  <c r="I111" i="15"/>
  <c r="K52" i="15"/>
  <c r="I22" i="15"/>
  <c r="K22" i="15"/>
  <c r="I36" i="15"/>
  <c r="K36" i="15"/>
  <c r="I114" i="15"/>
  <c r="I21" i="15"/>
  <c r="J21" i="15"/>
  <c r="I13" i="15"/>
  <c r="J13" i="15"/>
  <c r="I14" i="15"/>
  <c r="J14" i="15"/>
  <c r="I49" i="15"/>
  <c r="K49" i="15"/>
  <c r="I37" i="15"/>
  <c r="J37" i="15"/>
  <c r="I38" i="15"/>
  <c r="K38" i="15"/>
  <c r="I48" i="15"/>
  <c r="J48" i="15"/>
  <c r="I25" i="15"/>
  <c r="J25" i="15"/>
  <c r="I56" i="15"/>
  <c r="K56" i="15"/>
  <c r="I39" i="15"/>
  <c r="J39" i="15"/>
  <c r="I19" i="15"/>
  <c r="J19" i="15"/>
  <c r="I41" i="15"/>
  <c r="J41" i="15"/>
  <c r="I43" i="15"/>
  <c r="J43" i="15"/>
  <c r="I60" i="15"/>
  <c r="I47" i="15"/>
  <c r="J47" i="15"/>
  <c r="J35" i="16"/>
  <c r="I20" i="15"/>
  <c r="J20" i="15"/>
  <c r="I18" i="15"/>
  <c r="J18" i="15"/>
  <c r="I42" i="15"/>
  <c r="K42" i="15"/>
  <c r="J28" i="15"/>
  <c r="K28" i="15"/>
  <c r="J27" i="15"/>
  <c r="K27" i="15"/>
  <c r="K19" i="15"/>
  <c r="J30" i="15"/>
  <c r="I75" i="15"/>
  <c r="H75" i="15"/>
  <c r="I142" i="15"/>
  <c r="H142" i="15"/>
  <c r="K54" i="15"/>
  <c r="J54" i="15"/>
  <c r="G123" i="15"/>
  <c r="H120" i="15"/>
  <c r="I143" i="15"/>
  <c r="H143" i="15"/>
  <c r="K13" i="15"/>
  <c r="K450" i="15"/>
  <c r="J450" i="15"/>
  <c r="E597" i="15"/>
  <c r="F594" i="15"/>
  <c r="E598" i="15"/>
  <c r="H62" i="15"/>
  <c r="K44" i="15"/>
  <c r="J44" i="15"/>
  <c r="K421" i="15"/>
  <c r="J421" i="15"/>
  <c r="H179" i="15"/>
  <c r="I179" i="15"/>
  <c r="H136" i="15"/>
  <c r="I136" i="15"/>
  <c r="I121" i="15"/>
  <c r="M463" i="15"/>
  <c r="H121" i="15"/>
  <c r="K458" i="15"/>
  <c r="M458" i="15"/>
  <c r="J458" i="15"/>
  <c r="I112" i="15"/>
  <c r="H112" i="15"/>
  <c r="G62" i="15"/>
  <c r="I163" i="15"/>
  <c r="H163" i="15"/>
  <c r="I80" i="15"/>
  <c r="H80" i="15"/>
  <c r="H173" i="15"/>
  <c r="I173" i="15"/>
  <c r="I87" i="15"/>
  <c r="H87" i="15"/>
  <c r="G183" i="15"/>
  <c r="I180" i="15"/>
  <c r="H180" i="15"/>
  <c r="K465" i="15"/>
  <c r="K466" i="15"/>
  <c r="I453" i="15"/>
  <c r="I33" i="15"/>
  <c r="I59" i="15"/>
  <c r="I26" i="15"/>
  <c r="I15" i="15"/>
  <c r="L527" i="15"/>
  <c r="M457" i="15"/>
  <c r="I170" i="15"/>
  <c r="H170" i="15"/>
  <c r="I102" i="15"/>
  <c r="H102" i="15"/>
  <c r="I149" i="15"/>
  <c r="H149" i="15"/>
  <c r="I91" i="15"/>
  <c r="H91" i="15"/>
  <c r="I140" i="15"/>
  <c r="H140" i="15"/>
  <c r="K404" i="15"/>
  <c r="J404" i="15"/>
  <c r="M540" i="15"/>
  <c r="M539" i="15"/>
  <c r="I135" i="15"/>
  <c r="H135" i="15"/>
  <c r="H141" i="15"/>
  <c r="I141" i="15"/>
  <c r="I137" i="15"/>
  <c r="H137" i="15"/>
  <c r="K427" i="15"/>
  <c r="J427" i="15"/>
  <c r="F553" i="15"/>
  <c r="F585" i="15"/>
  <c r="E585" i="15"/>
  <c r="H172" i="15"/>
  <c r="I172" i="15"/>
  <c r="K454" i="15"/>
  <c r="M454" i="15"/>
  <c r="J454" i="15"/>
  <c r="K459" i="15"/>
  <c r="M459" i="15"/>
  <c r="J459" i="15"/>
  <c r="J35" i="15"/>
  <c r="L539" i="15"/>
  <c r="L540" i="15"/>
  <c r="J465" i="15"/>
  <c r="J466" i="15"/>
  <c r="M527" i="15"/>
  <c r="I61" i="15"/>
  <c r="C189" i="15"/>
  <c r="D189" i="15"/>
  <c r="J51" i="15"/>
  <c r="C187" i="15"/>
  <c r="D187" i="15"/>
  <c r="I63" i="15"/>
  <c r="C191" i="15"/>
  <c r="D191" i="15"/>
  <c r="K45" i="15"/>
  <c r="J40" i="15"/>
  <c r="K46" i="15"/>
  <c r="K16" i="15"/>
  <c r="K48" i="15"/>
  <c r="M461" i="15"/>
  <c r="J49" i="15"/>
  <c r="K14" i="15"/>
  <c r="J453" i="15"/>
  <c r="J36" i="15"/>
  <c r="K21" i="15"/>
  <c r="I50" i="15"/>
  <c r="K50" i="15"/>
  <c r="K12" i="15"/>
  <c r="J34" i="15"/>
  <c r="K57" i="15"/>
  <c r="J52" i="15"/>
  <c r="K55" i="15"/>
  <c r="J22" i="15"/>
  <c r="K60" i="15"/>
  <c r="C188" i="15"/>
  <c r="D188" i="15"/>
  <c r="K41" i="15"/>
  <c r="M456" i="15"/>
  <c r="J55" i="15"/>
  <c r="K453" i="15"/>
  <c r="M453" i="15"/>
  <c r="K37" i="15"/>
  <c r="K39" i="15"/>
  <c r="K25" i="15"/>
  <c r="K20" i="15"/>
  <c r="J56" i="15"/>
  <c r="J38" i="15"/>
  <c r="J57" i="15"/>
  <c r="J58" i="15"/>
  <c r="K53" i="15"/>
  <c r="K43" i="15"/>
  <c r="K47" i="15"/>
  <c r="J60" i="15"/>
  <c r="J42" i="15"/>
  <c r="K18" i="15"/>
  <c r="J53" i="15"/>
  <c r="K33" i="15"/>
  <c r="J33" i="15"/>
  <c r="I123" i="15"/>
  <c r="M465" i="15"/>
  <c r="I62" i="15"/>
  <c r="C190" i="15"/>
  <c r="J59" i="15"/>
  <c r="J63" i="15"/>
  <c r="K59" i="15"/>
  <c r="I183" i="15"/>
  <c r="F597" i="15"/>
  <c r="F598" i="15"/>
  <c r="K61" i="15"/>
  <c r="J61" i="15"/>
  <c r="K26" i="15"/>
  <c r="J26" i="15"/>
  <c r="H183" i="15"/>
  <c r="K15" i="15"/>
  <c r="J15" i="15"/>
  <c r="H123" i="15"/>
  <c r="M466" i="15"/>
  <c r="M462" i="15"/>
  <c r="K63" i="15"/>
  <c r="J50" i="15"/>
  <c r="D190" i="15"/>
  <c r="K62" i="15"/>
  <c r="J62" i="15"/>
  <c r="D28" i="5"/>
  <c r="D13" i="5"/>
  <c r="I22" i="10"/>
  <c r="AC14" i="2"/>
  <c r="F34" i="10"/>
  <c r="H34" i="10"/>
  <c r="AA15" i="2"/>
  <c r="I12" i="6"/>
  <c r="AA14" i="2"/>
  <c r="I34" i="10"/>
  <c r="AC15" i="2"/>
  <c r="D35" i="16"/>
  <c r="M35" i="16" s="1"/>
  <c r="D8" i="3"/>
  <c r="F8" i="3" s="1"/>
  <c r="J8" i="3" s="1"/>
  <c r="B9" i="3"/>
  <c r="D9" i="3" s="1"/>
  <c r="F9" i="3" s="1"/>
  <c r="B10" i="3"/>
  <c r="D10" i="3" s="1"/>
  <c r="F10" i="3" s="1"/>
  <c r="AA17" i="2"/>
  <c r="D20" i="3"/>
  <c r="F20" i="3"/>
  <c r="J20" i="3" s="1"/>
  <c r="F18" i="2" s="1"/>
  <c r="H20" i="3"/>
  <c r="E18" i="2" s="1"/>
  <c r="B21" i="3"/>
  <c r="D21" i="3" s="1"/>
  <c r="F21" i="3" s="1"/>
  <c r="H21" i="3" s="1"/>
  <c r="I21" i="3" s="1"/>
  <c r="BC16" i="19" s="1"/>
  <c r="B22" i="3"/>
  <c r="D22" i="3" s="1"/>
  <c r="F22" i="3" s="1"/>
  <c r="AA18" i="2"/>
  <c r="B32" i="3"/>
  <c r="D32" i="3" s="1"/>
  <c r="F32" i="3" s="1"/>
  <c r="E13" i="5"/>
  <c r="F13" i="5"/>
  <c r="D14" i="5"/>
  <c r="E14" i="5"/>
  <c r="F14" i="5"/>
  <c r="D15" i="5"/>
  <c r="E15" i="5"/>
  <c r="F15" i="5"/>
  <c r="E28" i="5"/>
  <c r="F28" i="5"/>
  <c r="D29" i="5"/>
  <c r="E29" i="5"/>
  <c r="F29" i="5"/>
  <c r="D30" i="5"/>
  <c r="B36" i="5"/>
  <c r="D37" i="5"/>
  <c r="B38" i="5"/>
  <c r="D38" i="5"/>
  <c r="D20" i="6"/>
  <c r="B22" i="6"/>
  <c r="D22" i="6"/>
  <c r="B42" i="6"/>
  <c r="D42" i="6"/>
  <c r="F9" i="7"/>
  <c r="M9" i="7" s="1"/>
  <c r="J9" i="7"/>
  <c r="F10" i="7"/>
  <c r="M10" i="7" s="1"/>
  <c r="I10" i="7"/>
  <c r="J10" i="7"/>
  <c r="F11" i="7"/>
  <c r="M11" i="7" s="1"/>
  <c r="I11" i="7"/>
  <c r="J11" i="7"/>
  <c r="F9" i="9"/>
  <c r="M9" i="9" s="1"/>
  <c r="I9" i="9"/>
  <c r="J9" i="9"/>
  <c r="F10" i="9"/>
  <c r="K10" i="9" s="1"/>
  <c r="I10" i="9"/>
  <c r="J10" i="9"/>
  <c r="N10" i="9"/>
  <c r="W16" i="19" s="1"/>
  <c r="J11" i="2"/>
  <c r="F11" i="9"/>
  <c r="M11" i="9" s="1"/>
  <c r="I11" i="9"/>
  <c r="J11" i="9"/>
  <c r="F20" i="9"/>
  <c r="K20" i="9" s="1"/>
  <c r="I20" i="9"/>
  <c r="J20" i="9"/>
  <c r="F21" i="9"/>
  <c r="M21" i="9" s="1"/>
  <c r="I21" i="9"/>
  <c r="F22" i="9"/>
  <c r="K22" i="9" s="1"/>
  <c r="I22" i="9"/>
  <c r="J22" i="9"/>
  <c r="B9" i="10"/>
  <c r="D9" i="10"/>
  <c r="H9" i="10"/>
  <c r="B10" i="10"/>
  <c r="D10" i="10"/>
  <c r="F10" i="10"/>
  <c r="H10" i="10"/>
  <c r="B11" i="10"/>
  <c r="D11" i="10"/>
  <c r="F11" i="10"/>
  <c r="H11" i="10"/>
  <c r="D19" i="10"/>
  <c r="B20" i="10"/>
  <c r="D20" i="10"/>
  <c r="F20" i="10"/>
  <c r="H20" i="10"/>
  <c r="B21" i="10"/>
  <c r="D21" i="10"/>
  <c r="F21" i="10"/>
  <c r="H21" i="10"/>
  <c r="D31" i="10"/>
  <c r="F31" i="10"/>
  <c r="H31" i="10"/>
  <c r="B32" i="10"/>
  <c r="D32" i="10"/>
  <c r="F32" i="10"/>
  <c r="H32" i="10"/>
  <c r="I32" i="10"/>
  <c r="B33" i="10"/>
  <c r="D33" i="10"/>
  <c r="F33" i="10"/>
  <c r="H33" i="10"/>
  <c r="F9" i="11"/>
  <c r="M9" i="11" s="1"/>
  <c r="I9" i="11"/>
  <c r="J9" i="11"/>
  <c r="F10" i="11"/>
  <c r="M10" i="11" s="1"/>
  <c r="K10" i="11"/>
  <c r="I10" i="11"/>
  <c r="J10" i="11"/>
  <c r="F11" i="11"/>
  <c r="M11" i="11" s="1"/>
  <c r="I11" i="11"/>
  <c r="J11" i="11"/>
  <c r="K11" i="9"/>
  <c r="H37" i="5"/>
  <c r="I37" i="5"/>
  <c r="H38" i="5"/>
  <c r="I42" i="6"/>
  <c r="J34" i="6"/>
  <c r="F54" i="6" s="1"/>
  <c r="I9" i="6"/>
  <c r="I11" i="6"/>
  <c r="H14" i="2"/>
  <c r="I20" i="10"/>
  <c r="J14" i="2"/>
  <c r="E14" i="2"/>
  <c r="I19" i="10"/>
  <c r="G14" i="2"/>
  <c r="I10" i="10"/>
  <c r="J13" i="2"/>
  <c r="H13" i="2"/>
  <c r="I21" i="10"/>
  <c r="M14" i="2"/>
  <c r="K14" i="2"/>
  <c r="I11" i="10"/>
  <c r="M13" i="2"/>
  <c r="K13" i="2"/>
  <c r="E13" i="2"/>
  <c r="I9" i="10"/>
  <c r="G13" i="2"/>
  <c r="I38" i="5"/>
  <c r="I20" i="3"/>
  <c r="BC15" i="19" s="1"/>
  <c r="K9" i="9"/>
  <c r="K11" i="11"/>
  <c r="J21" i="9"/>
  <c r="D49" i="5"/>
  <c r="E49" i="5"/>
  <c r="F49" i="5"/>
  <c r="D48" i="5"/>
  <c r="E48" i="5"/>
  <c r="F48" i="5"/>
  <c r="D47" i="5"/>
  <c r="E47" i="5"/>
  <c r="F47" i="5"/>
  <c r="I36" i="5"/>
  <c r="E30" i="5"/>
  <c r="F30" i="5"/>
  <c r="E45" i="10"/>
  <c r="K15" i="2"/>
  <c r="I33" i="10"/>
  <c r="M15" i="2"/>
  <c r="E15" i="2"/>
  <c r="E43" i="10"/>
  <c r="I31" i="10"/>
  <c r="G15" i="2"/>
  <c r="H15" i="2"/>
  <c r="E44" i="10"/>
  <c r="J15" i="2"/>
  <c r="I10" i="6"/>
  <c r="B44" i="6"/>
  <c r="D44" i="6"/>
  <c r="F44" i="6"/>
  <c r="B43" i="6"/>
  <c r="D43" i="6"/>
  <c r="F43" i="6"/>
  <c r="I43" i="6"/>
  <c r="J43" i="6"/>
  <c r="I44" i="6"/>
  <c r="J44" i="6"/>
  <c r="I23" i="6"/>
  <c r="I21" i="6"/>
  <c r="I22" i="6"/>
  <c r="E55" i="6"/>
  <c r="G55" i="6"/>
  <c r="J22" i="6"/>
  <c r="E52" i="6"/>
  <c r="E8" i="2" s="1"/>
  <c r="J21" i="6"/>
  <c r="J23" i="6"/>
  <c r="F55" i="6"/>
  <c r="P57" i="26" l="1"/>
  <c r="AB7" i="23" s="1"/>
  <c r="AA7" i="23"/>
  <c r="Q29" i="26"/>
  <c r="O23" i="26"/>
  <c r="P23" i="26" s="1"/>
  <c r="Q25" i="26"/>
  <c r="Q43" i="26"/>
  <c r="O29" i="26"/>
  <c r="P29" i="26" s="1"/>
  <c r="O25" i="26"/>
  <c r="P25" i="26" s="1"/>
  <c r="O43" i="26"/>
  <c r="P43" i="26" s="1"/>
  <c r="O44" i="26"/>
  <c r="P44" i="26" s="1"/>
  <c r="O47" i="26"/>
  <c r="P47" i="26" s="1"/>
  <c r="O32" i="26"/>
  <c r="P32" i="26" s="1"/>
  <c r="O56" i="26"/>
  <c r="P56" i="26" s="1"/>
  <c r="Q17" i="26"/>
  <c r="Q63" i="26"/>
  <c r="Q32" i="26"/>
  <c r="O48" i="26"/>
  <c r="P48" i="26" s="1"/>
  <c r="Q46" i="26"/>
  <c r="O33" i="26"/>
  <c r="P33" i="26" s="1"/>
  <c r="O17" i="26"/>
  <c r="P17" i="26" s="1"/>
  <c r="O51" i="26"/>
  <c r="P51" i="26" s="1"/>
  <c r="Q44" i="26"/>
  <c r="Q47" i="26"/>
  <c r="Q42" i="26"/>
  <c r="O19" i="26"/>
  <c r="P19" i="26" s="1"/>
  <c r="O55" i="26"/>
  <c r="P55" i="26" s="1"/>
  <c r="O45" i="26"/>
  <c r="P45" i="26" s="1"/>
  <c r="Q31" i="26"/>
  <c r="Q18" i="26"/>
  <c r="Q54" i="26"/>
  <c r="M7" i="23" s="1"/>
  <c r="Q15" i="26"/>
  <c r="Q45" i="26"/>
  <c r="Q35" i="26"/>
  <c r="Q24" i="26"/>
  <c r="Q16" i="26"/>
  <c r="O28" i="26"/>
  <c r="P28" i="26" s="1"/>
  <c r="O35" i="26"/>
  <c r="P35" i="26" s="1"/>
  <c r="O24" i="26"/>
  <c r="P24" i="26" s="1"/>
  <c r="O16" i="26"/>
  <c r="P16" i="26" s="1"/>
  <c r="O15" i="26"/>
  <c r="P15" i="26" s="1"/>
  <c r="J50" i="26"/>
  <c r="N50" i="26" s="1"/>
  <c r="Q38" i="26"/>
  <c r="O18" i="26"/>
  <c r="P18" i="26" s="1"/>
  <c r="Q33" i="26"/>
  <c r="Q13" i="26"/>
  <c r="Q51" i="26"/>
  <c r="Q19" i="26"/>
  <c r="O31" i="26"/>
  <c r="P31" i="26" s="1"/>
  <c r="Q56" i="26"/>
  <c r="O38" i="26"/>
  <c r="P38" i="26" s="1"/>
  <c r="O63" i="26"/>
  <c r="P63" i="26" s="1"/>
  <c r="Q22" i="26"/>
  <c r="Q53" i="26"/>
  <c r="J7" i="23" s="1"/>
  <c r="O58" i="26"/>
  <c r="O46" i="26"/>
  <c r="P46" i="26" s="1"/>
  <c r="O54" i="26"/>
  <c r="Q62" i="26"/>
  <c r="O52" i="26"/>
  <c r="K65" i="26"/>
  <c r="K64" i="26"/>
  <c r="J65" i="26"/>
  <c r="N65" i="26" s="1"/>
  <c r="J64" i="26"/>
  <c r="N64" i="26" s="1"/>
  <c r="N59" i="26"/>
  <c r="Q59" i="26" s="1"/>
  <c r="O50" i="26"/>
  <c r="K50" i="26"/>
  <c r="Q50" i="26" s="1"/>
  <c r="AL7" i="23" s="1"/>
  <c r="O62" i="26"/>
  <c r="P62" i="26" s="1"/>
  <c r="Q52" i="26"/>
  <c r="G7" i="23" s="1"/>
  <c r="O59" i="26"/>
  <c r="P59" i="26" s="1"/>
  <c r="Q48" i="26"/>
  <c r="O53" i="26"/>
  <c r="F176" i="1"/>
  <c r="G150" i="1"/>
  <c r="K150" i="1" s="1"/>
  <c r="G191" i="1"/>
  <c r="F178" i="1"/>
  <c r="F94" i="1"/>
  <c r="I125" i="1"/>
  <c r="F181" i="1"/>
  <c r="B143" i="1"/>
  <c r="J186" i="1" s="1"/>
  <c r="N186" i="1" s="1"/>
  <c r="F145" i="1"/>
  <c r="F188" i="1"/>
  <c r="H18" i="2"/>
  <c r="J18" i="2"/>
  <c r="B34" i="3"/>
  <c r="D34" i="3" s="1"/>
  <c r="F34" i="3" s="1"/>
  <c r="J11" i="3"/>
  <c r="AX21" i="19" s="1"/>
  <c r="B33" i="3"/>
  <c r="D33" i="3" s="1"/>
  <c r="F33" i="3" s="1"/>
  <c r="J21" i="3"/>
  <c r="H8" i="3"/>
  <c r="E17" i="2" s="1"/>
  <c r="BA16" i="19"/>
  <c r="J32" i="3"/>
  <c r="H32" i="3"/>
  <c r="J10" i="3"/>
  <c r="H10" i="3"/>
  <c r="BC21" i="19"/>
  <c r="AC18" i="2"/>
  <c r="J34" i="3"/>
  <c r="H34" i="3"/>
  <c r="J9" i="3"/>
  <c r="H9" i="3"/>
  <c r="AW15" i="19"/>
  <c r="J22" i="3"/>
  <c r="H22" i="3"/>
  <c r="F42" i="3"/>
  <c r="F17" i="2"/>
  <c r="AX15" i="19"/>
  <c r="I18" i="2"/>
  <c r="BB16" i="19"/>
  <c r="G18" i="2"/>
  <c r="I8" i="3"/>
  <c r="BA15" i="19"/>
  <c r="E45" i="3"/>
  <c r="G45" i="3" s="1"/>
  <c r="BB15" i="19"/>
  <c r="BB21" i="19"/>
  <c r="I11" i="3"/>
  <c r="M22" i="9"/>
  <c r="Y17" i="19" s="1"/>
  <c r="O22" i="9"/>
  <c r="Z17" i="19" s="1"/>
  <c r="K12" i="2"/>
  <c r="K21" i="9"/>
  <c r="Y16" i="19"/>
  <c r="N21" i="9"/>
  <c r="H12" i="2"/>
  <c r="L12" i="2"/>
  <c r="O20" i="9"/>
  <c r="N22" i="9"/>
  <c r="M20" i="9"/>
  <c r="O21" i="9"/>
  <c r="G152" i="1"/>
  <c r="K152" i="1" s="1"/>
  <c r="B9" i="1"/>
  <c r="H57" i="1" s="1"/>
  <c r="K57" i="1" s="1"/>
  <c r="G154" i="1"/>
  <c r="K154" i="1" s="1"/>
  <c r="E176" i="1"/>
  <c r="I176" i="1" s="1"/>
  <c r="F45" i="1"/>
  <c r="I45" i="1" s="1"/>
  <c r="J191" i="1"/>
  <c r="N191" i="1" s="1"/>
  <c r="G148" i="1"/>
  <c r="K148" i="1" s="1"/>
  <c r="D111" i="1"/>
  <c r="F183" i="1"/>
  <c r="B70" i="1"/>
  <c r="H87" i="1" s="1"/>
  <c r="D107" i="1"/>
  <c r="E107" i="1"/>
  <c r="I107" i="1" s="1"/>
  <c r="M107" i="1" s="1"/>
  <c r="E179" i="1"/>
  <c r="I179" i="1" s="1"/>
  <c r="M179" i="1" s="1"/>
  <c r="F17" i="1"/>
  <c r="I17" i="1" s="1"/>
  <c r="D113" i="1"/>
  <c r="I173" i="1"/>
  <c r="J161" i="1"/>
  <c r="N161" i="1" s="1"/>
  <c r="G170" i="1"/>
  <c r="K170" i="1" s="1"/>
  <c r="G115" i="1"/>
  <c r="K115" i="1" s="1"/>
  <c r="E13" i="1"/>
  <c r="E111" i="1"/>
  <c r="I111" i="1" s="1"/>
  <c r="M111" i="1" s="1"/>
  <c r="D47" i="1"/>
  <c r="F173" i="1"/>
  <c r="F146" i="1"/>
  <c r="J146" i="1" s="1"/>
  <c r="N146" i="1" s="1"/>
  <c r="E41" i="1"/>
  <c r="F14" i="1"/>
  <c r="I14" i="1" s="1"/>
  <c r="F55" i="1"/>
  <c r="I55" i="1" s="1"/>
  <c r="E22" i="1"/>
  <c r="H22" i="1" s="1"/>
  <c r="K22" i="1" s="1"/>
  <c r="D105" i="1"/>
  <c r="E27" i="1"/>
  <c r="E12" i="1"/>
  <c r="F175" i="1"/>
  <c r="J175" i="1" s="1"/>
  <c r="N175" i="1" s="1"/>
  <c r="F159" i="1"/>
  <c r="G157" i="1"/>
  <c r="K157" i="1" s="1"/>
  <c r="G147" i="1"/>
  <c r="K147" i="1" s="1"/>
  <c r="G118" i="1"/>
  <c r="K118" i="1" s="1"/>
  <c r="F82" i="1"/>
  <c r="E47" i="1"/>
  <c r="E24" i="1"/>
  <c r="H24" i="1" s="1"/>
  <c r="K24" i="1" s="1"/>
  <c r="G165" i="1"/>
  <c r="K165" i="1" s="1"/>
  <c r="G146" i="1"/>
  <c r="K146" i="1" s="1"/>
  <c r="D173" i="1"/>
  <c r="G111" i="1"/>
  <c r="K111" i="1" s="1"/>
  <c r="F84" i="1"/>
  <c r="E15" i="1"/>
  <c r="E29" i="1"/>
  <c r="H29" i="1" s="1"/>
  <c r="K29" i="1" s="1"/>
  <c r="D183" i="1"/>
  <c r="G97" i="1"/>
  <c r="K97" i="1" s="1"/>
  <c r="G180" i="1"/>
  <c r="K180" i="1" s="1"/>
  <c r="G156" i="1"/>
  <c r="G167" i="1"/>
  <c r="K167" i="1" s="1"/>
  <c r="G174" i="1"/>
  <c r="K174" i="1" s="1"/>
  <c r="D174" i="1"/>
  <c r="G186" i="1"/>
  <c r="K186" i="1" s="1"/>
  <c r="G106" i="1"/>
  <c r="G92" i="1"/>
  <c r="K92" i="1" s="1"/>
  <c r="G84" i="1"/>
  <c r="J84" i="1" s="1"/>
  <c r="N84" i="1" s="1"/>
  <c r="G89" i="1"/>
  <c r="J89" i="1" s="1"/>
  <c r="G126" i="1"/>
  <c r="K126" i="1" s="1"/>
  <c r="E45" i="1"/>
  <c r="H45" i="1" s="1"/>
  <c r="K45" i="1" s="1"/>
  <c r="E50" i="1"/>
  <c r="E32" i="1"/>
  <c r="E42" i="1"/>
  <c r="E40" i="1"/>
  <c r="H40" i="1" s="1"/>
  <c r="K40" i="1" s="1"/>
  <c r="I91" i="1"/>
  <c r="M91" i="1" s="1"/>
  <c r="D181" i="1"/>
  <c r="H54" i="1"/>
  <c r="K54" i="1" s="1"/>
  <c r="G98" i="1"/>
  <c r="K98" i="1" s="1"/>
  <c r="G91" i="1"/>
  <c r="J91" i="1" s="1"/>
  <c r="G94" i="1"/>
  <c r="J94" i="1" s="1"/>
  <c r="N94" i="1" s="1"/>
  <c r="I118" i="1"/>
  <c r="M118" i="1" s="1"/>
  <c r="I117" i="1"/>
  <c r="M117" i="1" s="1"/>
  <c r="I104" i="1"/>
  <c r="M104" i="1" s="1"/>
  <c r="M127" i="1"/>
  <c r="G149" i="1"/>
  <c r="K149" i="1" s="1"/>
  <c r="G187" i="1"/>
  <c r="K187" i="1" s="1"/>
  <c r="G164" i="1"/>
  <c r="K164" i="1" s="1"/>
  <c r="D180" i="1"/>
  <c r="D188" i="1"/>
  <c r="G95" i="1"/>
  <c r="J95" i="1" s="1"/>
  <c r="N95" i="1" s="1"/>
  <c r="G102" i="1"/>
  <c r="G117" i="1"/>
  <c r="K117" i="1" s="1"/>
  <c r="E37" i="1"/>
  <c r="H37" i="1" s="1"/>
  <c r="K37" i="1" s="1"/>
  <c r="E26" i="1"/>
  <c r="E14" i="1"/>
  <c r="E46" i="1"/>
  <c r="I81" i="1"/>
  <c r="M81" i="1" s="1"/>
  <c r="I186" i="1"/>
  <c r="M186" i="1" s="1"/>
  <c r="F47" i="1"/>
  <c r="I47" i="1" s="1"/>
  <c r="F60" i="1"/>
  <c r="I60" i="1" s="1"/>
  <c r="F52" i="1"/>
  <c r="I52" i="1" s="1"/>
  <c r="F19" i="1"/>
  <c r="I19" i="1" s="1"/>
  <c r="F30" i="1"/>
  <c r="I30" i="1" s="1"/>
  <c r="F34" i="1"/>
  <c r="I34" i="1" s="1"/>
  <c r="F13" i="1"/>
  <c r="I13" i="1" s="1"/>
  <c r="G77" i="1"/>
  <c r="K77" i="1" s="1"/>
  <c r="G119" i="1"/>
  <c r="K119" i="1" s="1"/>
  <c r="G108" i="1"/>
  <c r="J108" i="1" s="1"/>
  <c r="N108" i="1" s="1"/>
  <c r="G120" i="1"/>
  <c r="K120" i="1" s="1"/>
  <c r="G88" i="1"/>
  <c r="G109" i="1"/>
  <c r="G79" i="1"/>
  <c r="K79" i="1" s="1"/>
  <c r="G93" i="1"/>
  <c r="K93" i="1" s="1"/>
  <c r="G112" i="1"/>
  <c r="K112" i="1" s="1"/>
  <c r="G121" i="1"/>
  <c r="K121" i="1" s="1"/>
  <c r="G113" i="1"/>
  <c r="J113" i="1" s="1"/>
  <c r="N113" i="1" s="1"/>
  <c r="G122" i="1"/>
  <c r="K122" i="1" s="1"/>
  <c r="D46" i="1"/>
  <c r="D42" i="1"/>
  <c r="F157" i="1"/>
  <c r="F179" i="1"/>
  <c r="F180" i="1"/>
  <c r="J180" i="1" s="1"/>
  <c r="N180" i="1" s="1"/>
  <c r="F154" i="1"/>
  <c r="F174" i="1"/>
  <c r="F148" i="1"/>
  <c r="F162" i="1"/>
  <c r="J162" i="1" s="1"/>
  <c r="N162" i="1" s="1"/>
  <c r="F147" i="1"/>
  <c r="F169" i="1"/>
  <c r="D175" i="1"/>
  <c r="D178" i="1"/>
  <c r="G99" i="1"/>
  <c r="F20" i="1"/>
  <c r="I20" i="1" s="1"/>
  <c r="F56" i="1"/>
  <c r="I56" i="1" s="1"/>
  <c r="G80" i="1"/>
  <c r="J80" i="1" s="1"/>
  <c r="F24" i="1"/>
  <c r="I24" i="1" s="1"/>
  <c r="F40" i="1"/>
  <c r="I40" i="1" s="1"/>
  <c r="F46" i="1"/>
  <c r="I46" i="1" s="1"/>
  <c r="F28" i="1"/>
  <c r="I28" i="1" s="1"/>
  <c r="G105" i="1"/>
  <c r="G82" i="1"/>
  <c r="K82" i="1" s="1"/>
  <c r="G110" i="1"/>
  <c r="K110" i="1" s="1"/>
  <c r="G87" i="1"/>
  <c r="F53" i="1"/>
  <c r="I53" i="1" s="1"/>
  <c r="G127" i="1"/>
  <c r="K127" i="1" s="1"/>
  <c r="E48" i="1"/>
  <c r="H48" i="1" s="1"/>
  <c r="K48" i="1" s="1"/>
  <c r="E33" i="1"/>
  <c r="E16" i="1"/>
  <c r="E36" i="1"/>
  <c r="E18" i="1"/>
  <c r="H18" i="1" s="1"/>
  <c r="K18" i="1" s="1"/>
  <c r="E23" i="1"/>
  <c r="E34" i="1"/>
  <c r="E30" i="1"/>
  <c r="E19" i="1"/>
  <c r="H19" i="1" s="1"/>
  <c r="K19" i="1" s="1"/>
  <c r="F80" i="1"/>
  <c r="F98" i="1"/>
  <c r="D45" i="1"/>
  <c r="J194" i="1"/>
  <c r="F164" i="1"/>
  <c r="F149" i="1"/>
  <c r="F163" i="1"/>
  <c r="F165" i="1"/>
  <c r="J165" i="1" s="1"/>
  <c r="N165" i="1" s="1"/>
  <c r="F166" i="1"/>
  <c r="F177" i="1"/>
  <c r="B139" i="1"/>
  <c r="D179" i="1"/>
  <c r="G107" i="1"/>
  <c r="G116" i="1"/>
  <c r="K116" i="1" s="1"/>
  <c r="F44" i="1"/>
  <c r="I44" i="1" s="1"/>
  <c r="G86" i="1"/>
  <c r="G85" i="1"/>
  <c r="F26" i="1"/>
  <c r="I26" i="1" s="1"/>
  <c r="F42" i="1"/>
  <c r="I42" i="1" s="1"/>
  <c r="G101" i="1"/>
  <c r="G78" i="1"/>
  <c r="G96" i="1"/>
  <c r="G83" i="1"/>
  <c r="F51" i="1"/>
  <c r="I51" i="1" s="1"/>
  <c r="F105" i="1"/>
  <c r="E17" i="1"/>
  <c r="E21" i="1"/>
  <c r="H21" i="1" s="1"/>
  <c r="K21" i="1" s="1"/>
  <c r="E28" i="1"/>
  <c r="E43" i="1"/>
  <c r="E31" i="1"/>
  <c r="E20" i="1"/>
  <c r="H20" i="1" s="1"/>
  <c r="K20" i="1" s="1"/>
  <c r="F155" i="1"/>
  <c r="F156" i="1"/>
  <c r="F167" i="1"/>
  <c r="F150" i="1"/>
  <c r="J150" i="1" s="1"/>
  <c r="N150" i="1" s="1"/>
  <c r="Q150" i="1" s="1"/>
  <c r="F170" i="1"/>
  <c r="F153" i="1"/>
  <c r="I120" i="1"/>
  <c r="M120" i="1" s="1"/>
  <c r="I184" i="1"/>
  <c r="M184" i="1" s="1"/>
  <c r="K81" i="1"/>
  <c r="J81" i="1"/>
  <c r="N81" i="1" s="1"/>
  <c r="G145" i="1"/>
  <c r="G188" i="1"/>
  <c r="K188" i="1" s="1"/>
  <c r="G177" i="1"/>
  <c r="G162" i="1"/>
  <c r="G181" i="1"/>
  <c r="K181" i="1" s="1"/>
  <c r="G159" i="1"/>
  <c r="K159" i="1" s="1"/>
  <c r="G178" i="1"/>
  <c r="K178" i="1" s="1"/>
  <c r="G190" i="1"/>
  <c r="K190" i="1" s="1"/>
  <c r="G183" i="1"/>
  <c r="K183" i="1" s="1"/>
  <c r="G176" i="1"/>
  <c r="K176" i="1" s="1"/>
  <c r="G184" i="1"/>
  <c r="K184" i="1" s="1"/>
  <c r="G155" i="1"/>
  <c r="K155" i="1" s="1"/>
  <c r="G160" i="1"/>
  <c r="K160" i="1" s="1"/>
  <c r="G189" i="1"/>
  <c r="K189" i="1" s="1"/>
  <c r="G195" i="1"/>
  <c r="K195" i="1" s="1"/>
  <c r="G173" i="1"/>
  <c r="K173" i="1" s="1"/>
  <c r="G151" i="1"/>
  <c r="K151" i="1" s="1"/>
  <c r="G163" i="1"/>
  <c r="K163" i="1" s="1"/>
  <c r="G179" i="1"/>
  <c r="K179" i="1" s="1"/>
  <c r="G185" i="1"/>
  <c r="K185" i="1" s="1"/>
  <c r="G169" i="1"/>
  <c r="K169" i="1" s="1"/>
  <c r="G161" i="1"/>
  <c r="K161" i="1" s="1"/>
  <c r="G153" i="1"/>
  <c r="K153" i="1" s="1"/>
  <c r="G166" i="1"/>
  <c r="K166" i="1" s="1"/>
  <c r="G194" i="1"/>
  <c r="K194" i="1" s="1"/>
  <c r="G175" i="1"/>
  <c r="K175" i="1" s="1"/>
  <c r="H101" i="1"/>
  <c r="L101" i="1" s="1"/>
  <c r="F97" i="1"/>
  <c r="F93" i="1"/>
  <c r="F77" i="1"/>
  <c r="F95" i="1"/>
  <c r="F78" i="1"/>
  <c r="F81" i="1"/>
  <c r="F113" i="1"/>
  <c r="F85" i="1"/>
  <c r="F92" i="1"/>
  <c r="F102" i="1"/>
  <c r="F88" i="1"/>
  <c r="F99" i="1"/>
  <c r="F91" i="1"/>
  <c r="F101" i="1"/>
  <c r="F96" i="1"/>
  <c r="F87" i="1"/>
  <c r="F109" i="1"/>
  <c r="F108" i="1"/>
  <c r="F106" i="1"/>
  <c r="F111" i="1"/>
  <c r="F79" i="1"/>
  <c r="F112" i="1"/>
  <c r="F110" i="1"/>
  <c r="F89" i="1"/>
  <c r="F107" i="1"/>
  <c r="I86" i="1"/>
  <c r="M86" i="1" s="1"/>
  <c r="I79" i="1"/>
  <c r="M79" i="1" s="1"/>
  <c r="I85" i="1"/>
  <c r="M85" i="1" s="1"/>
  <c r="I78" i="1"/>
  <c r="M78" i="1" s="1"/>
  <c r="I83" i="1"/>
  <c r="M83" i="1" s="1"/>
  <c r="I92" i="1"/>
  <c r="M92" i="1" s="1"/>
  <c r="I98" i="1"/>
  <c r="M98" i="1" s="1"/>
  <c r="I99" i="1"/>
  <c r="M99" i="1" s="1"/>
  <c r="I80" i="1"/>
  <c r="M80" i="1" s="1"/>
  <c r="I77" i="1"/>
  <c r="M77" i="1" s="1"/>
  <c r="I119" i="1"/>
  <c r="M119" i="1" s="1"/>
  <c r="I101" i="1"/>
  <c r="M101" i="1" s="1"/>
  <c r="I103" i="1"/>
  <c r="M103" i="1" s="1"/>
  <c r="I87" i="1"/>
  <c r="M87" i="1" s="1"/>
  <c r="I95" i="1"/>
  <c r="M95" i="1" s="1"/>
  <c r="I109" i="1"/>
  <c r="I102" i="1"/>
  <c r="M102" i="1" s="1"/>
  <c r="M126" i="1"/>
  <c r="F83" i="1"/>
  <c r="F86" i="1"/>
  <c r="B74" i="1"/>
  <c r="J121" i="1" s="1"/>
  <c r="N121" i="1" s="1"/>
  <c r="H53" i="1"/>
  <c r="K53" i="1" s="1"/>
  <c r="I90" i="1"/>
  <c r="M90" i="1" s="1"/>
  <c r="E174" i="1"/>
  <c r="I174" i="1" s="1"/>
  <c r="E180" i="1"/>
  <c r="I180" i="1" s="1"/>
  <c r="D115" i="1"/>
  <c r="D108" i="1"/>
  <c r="D106" i="1"/>
  <c r="E113" i="1"/>
  <c r="I113" i="1" s="1"/>
  <c r="E181" i="1"/>
  <c r="I181" i="1" s="1"/>
  <c r="E106" i="1"/>
  <c r="I106" i="1" s="1"/>
  <c r="M106" i="1" s="1"/>
  <c r="E105" i="1"/>
  <c r="I105" i="1" s="1"/>
  <c r="M105" i="1" s="1"/>
  <c r="E175" i="1"/>
  <c r="I175" i="1" s="1"/>
  <c r="M175" i="1" s="1"/>
  <c r="E110" i="1"/>
  <c r="I110" i="1" s="1"/>
  <c r="M110" i="1" s="1"/>
  <c r="D110" i="1"/>
  <c r="D112" i="1"/>
  <c r="F59" i="1"/>
  <c r="I59" i="1" s="1"/>
  <c r="F50" i="1"/>
  <c r="F32" i="1"/>
  <c r="F21" i="1"/>
  <c r="I21" i="1" s="1"/>
  <c r="F54" i="1"/>
  <c r="F27" i="1"/>
  <c r="F33" i="1"/>
  <c r="I33" i="1" s="1"/>
  <c r="F23" i="1"/>
  <c r="F41" i="1"/>
  <c r="N35" i="1"/>
  <c r="F15" i="1"/>
  <c r="I15" i="1" s="1"/>
  <c r="F58" i="1"/>
  <c r="F43" i="1"/>
  <c r="I43" i="1" s="1"/>
  <c r="F36" i="1"/>
  <c r="F12" i="1"/>
  <c r="I12" i="1" s="1"/>
  <c r="F31" i="1"/>
  <c r="F22" i="1"/>
  <c r="I22" i="1" s="1"/>
  <c r="F48" i="1"/>
  <c r="I48" i="1" s="1"/>
  <c r="F18" i="1"/>
  <c r="F29" i="1"/>
  <c r="I29" i="1" s="1"/>
  <c r="F37" i="1"/>
  <c r="I37" i="1" s="1"/>
  <c r="F57" i="1"/>
  <c r="I57" i="1" s="1"/>
  <c r="J185" i="1"/>
  <c r="N185" i="1" s="1"/>
  <c r="J178" i="1"/>
  <c r="N178" i="1" s="1"/>
  <c r="I116" i="1"/>
  <c r="M116" i="1" s="1"/>
  <c r="E112" i="1"/>
  <c r="I112" i="1" s="1"/>
  <c r="M112" i="1" s="1"/>
  <c r="E115" i="1"/>
  <c r="I115" i="1" s="1"/>
  <c r="M115" i="1" s="1"/>
  <c r="E108" i="1"/>
  <c r="I108" i="1" s="1"/>
  <c r="M108" i="1" s="1"/>
  <c r="B7" i="1"/>
  <c r="G51" i="1" s="1"/>
  <c r="J51" i="1" s="1"/>
  <c r="D41" i="1"/>
  <c r="D48" i="1"/>
  <c r="D50" i="1"/>
  <c r="D43" i="1"/>
  <c r="G43" i="1" s="1"/>
  <c r="I122" i="1"/>
  <c r="M122" i="1" s="1"/>
  <c r="F151" i="1"/>
  <c r="I121" i="1"/>
  <c r="M121" i="1" s="1"/>
  <c r="I93" i="1"/>
  <c r="M93" i="1" s="1"/>
  <c r="M167" i="1"/>
  <c r="M163" i="1"/>
  <c r="M159" i="1"/>
  <c r="I152" i="1"/>
  <c r="M152" i="1" s="1"/>
  <c r="I160" i="1"/>
  <c r="I155" i="1"/>
  <c r="I153" i="1"/>
  <c r="I148" i="1"/>
  <c r="M148" i="1" s="1"/>
  <c r="I190" i="1"/>
  <c r="I170" i="1"/>
  <c r="I147" i="1"/>
  <c r="I154" i="1"/>
  <c r="P188" i="1"/>
  <c r="R28" i="24" s="1"/>
  <c r="R30" i="24" s="1"/>
  <c r="I146" i="1"/>
  <c r="I161" i="1"/>
  <c r="I189" i="1"/>
  <c r="I187" i="1"/>
  <c r="M187" i="1" s="1"/>
  <c r="I185" i="1"/>
  <c r="I183" i="1"/>
  <c r="I188" i="1"/>
  <c r="I178" i="1"/>
  <c r="I151" i="1"/>
  <c r="I172" i="1"/>
  <c r="I166" i="1"/>
  <c r="I145" i="1"/>
  <c r="I158" i="1"/>
  <c r="AS17" i="19"/>
  <c r="K16" i="2"/>
  <c r="N11" i="11"/>
  <c r="O11" i="11"/>
  <c r="AS16" i="19"/>
  <c r="H16" i="2"/>
  <c r="N10" i="11"/>
  <c r="AT16" i="19"/>
  <c r="E16" i="2"/>
  <c r="N9" i="11"/>
  <c r="AS15" i="19"/>
  <c r="O9" i="11"/>
  <c r="K9" i="11"/>
  <c r="K11" i="2"/>
  <c r="U17" i="19"/>
  <c r="N11" i="9"/>
  <c r="O11" i="9"/>
  <c r="H11" i="2"/>
  <c r="V16" i="19"/>
  <c r="U15" i="19"/>
  <c r="N9" i="9"/>
  <c r="E11" i="2"/>
  <c r="F11" i="2"/>
  <c r="I34" i="6"/>
  <c r="E54" i="6"/>
  <c r="L8" i="2"/>
  <c r="H17" i="19"/>
  <c r="I8" i="2"/>
  <c r="H16" i="19"/>
  <c r="H33" i="6"/>
  <c r="H15" i="19"/>
  <c r="F8" i="2"/>
  <c r="G15" i="19"/>
  <c r="G52" i="6"/>
  <c r="O11" i="7"/>
  <c r="L17" i="19" s="1"/>
  <c r="K11" i="7"/>
  <c r="K17" i="19"/>
  <c r="K9" i="2"/>
  <c r="N11" i="7"/>
  <c r="L9" i="2"/>
  <c r="K16" i="19"/>
  <c r="N10" i="7"/>
  <c r="H9" i="2"/>
  <c r="K10" i="7"/>
  <c r="O10" i="7"/>
  <c r="K9" i="7"/>
  <c r="O9" i="7"/>
  <c r="K15" i="19"/>
  <c r="E9" i="2"/>
  <c r="N9" i="7"/>
  <c r="P50" i="26" l="1"/>
  <c r="AK7" i="23" s="1"/>
  <c r="AJ7" i="23"/>
  <c r="P54" i="26"/>
  <c r="L7" i="23" s="1"/>
  <c r="K7" i="23"/>
  <c r="P53" i="26"/>
  <c r="I7" i="23" s="1"/>
  <c r="H7" i="23"/>
  <c r="P52" i="26"/>
  <c r="F7" i="23" s="1"/>
  <c r="E7" i="23"/>
  <c r="P58" i="26"/>
  <c r="Y7" i="23" s="1"/>
  <c r="X7" i="23"/>
  <c r="O64" i="26"/>
  <c r="P64" i="26" s="1"/>
  <c r="O65" i="26"/>
  <c r="P65" i="26" s="1"/>
  <c r="Q64" i="26"/>
  <c r="Q65" i="26"/>
  <c r="J188" i="1"/>
  <c r="N188" i="1" s="1"/>
  <c r="J184" i="1"/>
  <c r="N184" i="1" s="1"/>
  <c r="H52" i="1"/>
  <c r="K52" i="1" s="1"/>
  <c r="H121" i="1"/>
  <c r="L121" i="1" s="1"/>
  <c r="Q121" i="1" s="1"/>
  <c r="H17" i="1"/>
  <c r="K17" i="1" s="1"/>
  <c r="J177" i="1"/>
  <c r="N177" i="1" s="1"/>
  <c r="H36" i="1"/>
  <c r="K36" i="1" s="1"/>
  <c r="J148" i="1"/>
  <c r="N148" i="1" s="1"/>
  <c r="H46" i="1"/>
  <c r="K46" i="1" s="1"/>
  <c r="H42" i="1"/>
  <c r="K42" i="1" s="1"/>
  <c r="H13" i="1"/>
  <c r="K13" i="1" s="1"/>
  <c r="J181" i="1"/>
  <c r="N181" i="1" s="1"/>
  <c r="J183" i="1"/>
  <c r="N183" i="1" s="1"/>
  <c r="J190" i="1"/>
  <c r="N190" i="1" s="1"/>
  <c r="H59" i="1"/>
  <c r="K59" i="1" s="1"/>
  <c r="H56" i="1"/>
  <c r="K56" i="1" s="1"/>
  <c r="H95" i="1"/>
  <c r="L95" i="1" s="1"/>
  <c r="J153" i="1"/>
  <c r="N153" i="1" s="1"/>
  <c r="J156" i="1"/>
  <c r="N156" i="1" s="1"/>
  <c r="H43" i="1"/>
  <c r="K43" i="1" s="1"/>
  <c r="J187" i="1"/>
  <c r="N187" i="1" s="1"/>
  <c r="J149" i="1"/>
  <c r="N149" i="1" s="1"/>
  <c r="H34" i="1"/>
  <c r="K34" i="1" s="1"/>
  <c r="H16" i="1"/>
  <c r="K16" i="1" s="1"/>
  <c r="J169" i="1"/>
  <c r="N169" i="1" s="1"/>
  <c r="J174" i="1"/>
  <c r="N174" i="1" s="1"/>
  <c r="J157" i="1"/>
  <c r="O157" i="1" s="1"/>
  <c r="H14" i="1"/>
  <c r="K14" i="1" s="1"/>
  <c r="J145" i="1"/>
  <c r="N145" i="1" s="1"/>
  <c r="H32" i="1"/>
  <c r="K32" i="1" s="1"/>
  <c r="H58" i="1"/>
  <c r="K58" i="1" s="1"/>
  <c r="H44" i="1"/>
  <c r="K44" i="1" s="1"/>
  <c r="H27" i="1"/>
  <c r="K27" i="1" s="1"/>
  <c r="J195" i="1"/>
  <c r="N195" i="1" s="1"/>
  <c r="H111" i="1"/>
  <c r="L111" i="1" s="1"/>
  <c r="M129" i="1"/>
  <c r="H187" i="1"/>
  <c r="L187" i="1" s="1"/>
  <c r="Q187" i="1" s="1"/>
  <c r="H191" i="1"/>
  <c r="O191" i="1" s="1"/>
  <c r="P191" i="1" s="1"/>
  <c r="H84" i="1"/>
  <c r="L84" i="1" s="1"/>
  <c r="H123" i="1"/>
  <c r="H51" i="1"/>
  <c r="J167" i="1"/>
  <c r="N167" i="1" s="1"/>
  <c r="H31" i="1"/>
  <c r="K31" i="1" s="1"/>
  <c r="J163" i="1"/>
  <c r="N163" i="1" s="1"/>
  <c r="H30" i="1"/>
  <c r="K30" i="1" s="1"/>
  <c r="J179" i="1"/>
  <c r="N179" i="1" s="1"/>
  <c r="H15" i="1"/>
  <c r="K15" i="1" s="1"/>
  <c r="H47" i="1"/>
  <c r="K47" i="1" s="1"/>
  <c r="H12" i="1"/>
  <c r="H49" i="1" s="1"/>
  <c r="K49" i="1" s="1"/>
  <c r="J173" i="1"/>
  <c r="N173" i="1" s="1"/>
  <c r="J151" i="1"/>
  <c r="N151" i="1" s="1"/>
  <c r="J176" i="1"/>
  <c r="N176" i="1" s="1"/>
  <c r="J152" i="1"/>
  <c r="N152" i="1" s="1"/>
  <c r="H55" i="1"/>
  <c r="K55" i="1" s="1"/>
  <c r="H86" i="1"/>
  <c r="L86" i="1" s="1"/>
  <c r="J189" i="1"/>
  <c r="N189" i="1" s="1"/>
  <c r="J170" i="1"/>
  <c r="N170" i="1" s="1"/>
  <c r="J155" i="1"/>
  <c r="N155" i="1" s="1"/>
  <c r="H28" i="1"/>
  <c r="K28" i="1" s="1"/>
  <c r="J166" i="1"/>
  <c r="N166" i="1" s="1"/>
  <c r="J164" i="1"/>
  <c r="N164" i="1" s="1"/>
  <c r="Q164" i="1" s="1"/>
  <c r="BM60" i="19" s="1"/>
  <c r="H23" i="1"/>
  <c r="K23" i="1" s="1"/>
  <c r="H33" i="1"/>
  <c r="K33" i="1" s="1"/>
  <c r="H102" i="1"/>
  <c r="L102" i="1" s="1"/>
  <c r="J147" i="1"/>
  <c r="N147" i="1" s="1"/>
  <c r="J154" i="1"/>
  <c r="N154" i="1" s="1"/>
  <c r="H119" i="1"/>
  <c r="L119" i="1" s="1"/>
  <c r="H127" i="1"/>
  <c r="L127" i="1" s="1"/>
  <c r="J160" i="1"/>
  <c r="N160" i="1" s="1"/>
  <c r="H26" i="1"/>
  <c r="K26" i="1" s="1"/>
  <c r="H50" i="1"/>
  <c r="K50" i="1" s="1"/>
  <c r="H60" i="1"/>
  <c r="K60" i="1" s="1"/>
  <c r="J159" i="1"/>
  <c r="N159" i="1" s="1"/>
  <c r="H41" i="1"/>
  <c r="K41" i="1" s="1"/>
  <c r="H33" i="3"/>
  <c r="J33" i="3"/>
  <c r="AB17" i="2"/>
  <c r="F45" i="3"/>
  <c r="L18" i="2"/>
  <c r="BB17" i="19"/>
  <c r="AW16" i="19"/>
  <c r="H17" i="2"/>
  <c r="I9" i="3"/>
  <c r="K17" i="2"/>
  <c r="AW17" i="19"/>
  <c r="E44" i="3"/>
  <c r="G44" i="3" s="1"/>
  <c r="I10" i="3"/>
  <c r="AY21" i="19"/>
  <c r="AC17" i="2"/>
  <c r="AX16" i="19"/>
  <c r="F43" i="3"/>
  <c r="I17" i="2"/>
  <c r="AX17" i="19"/>
  <c r="F44" i="3"/>
  <c r="L17" i="2"/>
  <c r="G17" i="2"/>
  <c r="AY15" i="19"/>
  <c r="K19" i="2"/>
  <c r="BG17" i="19"/>
  <c r="I34" i="3"/>
  <c r="BG15" i="19"/>
  <c r="E19" i="2"/>
  <c r="I32" i="3"/>
  <c r="E42" i="3"/>
  <c r="G42" i="3" s="1"/>
  <c r="BA17" i="19"/>
  <c r="K18" i="2"/>
  <c r="I22" i="3"/>
  <c r="L19" i="2"/>
  <c r="BH17" i="19"/>
  <c r="F19" i="2"/>
  <c r="BH15" i="19"/>
  <c r="Z15" i="19"/>
  <c r="F12" i="2"/>
  <c r="I12" i="2"/>
  <c r="Z16" i="19"/>
  <c r="N20" i="9"/>
  <c r="Y15" i="19"/>
  <c r="E12" i="2"/>
  <c r="M12" i="2"/>
  <c r="AA17" i="19"/>
  <c r="J12" i="2"/>
  <c r="AA16" i="19"/>
  <c r="K95" i="1"/>
  <c r="H91" i="1"/>
  <c r="L91" i="1" s="1"/>
  <c r="H83" i="1"/>
  <c r="L83" i="1" s="1"/>
  <c r="H122" i="1"/>
  <c r="L122" i="1" s="1"/>
  <c r="H118" i="1"/>
  <c r="L118" i="1" s="1"/>
  <c r="H103" i="1"/>
  <c r="L103" i="1" s="1"/>
  <c r="Q103" i="1" s="1"/>
  <c r="S84" i="19" s="1"/>
  <c r="N17" i="1"/>
  <c r="E28" i="19" s="1"/>
  <c r="H79" i="1"/>
  <c r="L79" i="1" s="1"/>
  <c r="H126" i="1"/>
  <c r="L126" i="1" s="1"/>
  <c r="H117" i="1"/>
  <c r="L117" i="1" s="1"/>
  <c r="H98" i="1"/>
  <c r="L98" i="1" s="1"/>
  <c r="H80" i="1"/>
  <c r="L80" i="1" s="1"/>
  <c r="H104" i="1"/>
  <c r="O104" i="1" s="1"/>
  <c r="H92" i="1"/>
  <c r="L92" i="1" s="1"/>
  <c r="N194" i="1"/>
  <c r="H99" i="1"/>
  <c r="L99" i="1" s="1"/>
  <c r="H116" i="1"/>
  <c r="L116" i="1" s="1"/>
  <c r="H112" i="1"/>
  <c r="L112" i="1" s="1"/>
  <c r="H106" i="1"/>
  <c r="L106" i="1" s="1"/>
  <c r="H90" i="1"/>
  <c r="O90" i="1" s="1"/>
  <c r="H110" i="1"/>
  <c r="L110" i="1" s="1"/>
  <c r="H108" i="1"/>
  <c r="L108" i="1" s="1"/>
  <c r="H115" i="1"/>
  <c r="L115" i="1" s="1"/>
  <c r="H105" i="1"/>
  <c r="L105" i="1" s="1"/>
  <c r="H85" i="1"/>
  <c r="L85" i="1" s="1"/>
  <c r="H120" i="1"/>
  <c r="L120" i="1" s="1"/>
  <c r="H93" i="1"/>
  <c r="L93" i="1" s="1"/>
  <c r="H78" i="1"/>
  <c r="L78" i="1" s="1"/>
  <c r="H81" i="1"/>
  <c r="L81" i="1" s="1"/>
  <c r="Q81" i="1" s="1"/>
  <c r="S27" i="19" s="1"/>
  <c r="H77" i="1"/>
  <c r="L77" i="1" s="1"/>
  <c r="H113" i="1"/>
  <c r="L113" i="1" s="1"/>
  <c r="H107" i="1"/>
  <c r="L107" i="1" s="1"/>
  <c r="K91" i="1"/>
  <c r="G50" i="1"/>
  <c r="J50" i="1" s="1"/>
  <c r="L44" i="1"/>
  <c r="C40" i="16" s="1"/>
  <c r="G41" i="1"/>
  <c r="J41" i="1" s="1"/>
  <c r="J115" i="1"/>
  <c r="N115" i="1" s="1"/>
  <c r="K89" i="1"/>
  <c r="H61" i="1"/>
  <c r="K61" i="1" s="1"/>
  <c r="O84" i="1"/>
  <c r="F14" i="16" s="1"/>
  <c r="J79" i="1"/>
  <c r="N79" i="1" s="1"/>
  <c r="J110" i="1"/>
  <c r="N110" i="1" s="1"/>
  <c r="J82" i="1"/>
  <c r="N82" i="1" s="1"/>
  <c r="Q82" i="1" s="1"/>
  <c r="K108" i="1"/>
  <c r="K113" i="1"/>
  <c r="J98" i="1"/>
  <c r="N98" i="1" s="1"/>
  <c r="J111" i="1"/>
  <c r="N111" i="1" s="1"/>
  <c r="J92" i="1"/>
  <c r="N92" i="1" s="1"/>
  <c r="J197" i="1"/>
  <c r="N197" i="1" s="1"/>
  <c r="K156" i="1"/>
  <c r="Q156" i="1" s="1"/>
  <c r="K18" i="16" s="1"/>
  <c r="J97" i="1"/>
  <c r="N97" i="1" s="1"/>
  <c r="Q97" i="1" s="1"/>
  <c r="G129" i="1"/>
  <c r="K129" i="1" s="1"/>
  <c r="G128" i="1"/>
  <c r="K128" i="1" s="1"/>
  <c r="J106" i="1"/>
  <c r="N106" i="1" s="1"/>
  <c r="K106" i="1"/>
  <c r="F61" i="1"/>
  <c r="I61" i="1" s="1"/>
  <c r="G48" i="1"/>
  <c r="N29" i="1"/>
  <c r="AI7" i="2" s="1"/>
  <c r="L31" i="1"/>
  <c r="C60" i="19" s="1"/>
  <c r="F62" i="1"/>
  <c r="I62" i="1" s="1"/>
  <c r="O94" i="1"/>
  <c r="F24" i="16" s="1"/>
  <c r="Q165" i="1"/>
  <c r="BM79" i="19" s="1"/>
  <c r="K84" i="1"/>
  <c r="Q84" i="1" s="1"/>
  <c r="H14" i="16" s="1"/>
  <c r="K94" i="1"/>
  <c r="Q94" i="1" s="1"/>
  <c r="S58" i="19" s="1"/>
  <c r="F49" i="1"/>
  <c r="I49" i="1" s="1"/>
  <c r="N44" i="1"/>
  <c r="E40" i="16" s="1"/>
  <c r="H179" i="1"/>
  <c r="L179" i="1" s="1"/>
  <c r="Q179" i="1" s="1"/>
  <c r="J102" i="1"/>
  <c r="N102" i="1" s="1"/>
  <c r="K102" i="1"/>
  <c r="BM28" i="19"/>
  <c r="K12" i="16"/>
  <c r="J83" i="1"/>
  <c r="N83" i="1" s="1"/>
  <c r="K83" i="1"/>
  <c r="K105" i="1"/>
  <c r="J105" i="1"/>
  <c r="N105" i="1" s="1"/>
  <c r="K99" i="1"/>
  <c r="J99" i="1"/>
  <c r="N99" i="1" s="1"/>
  <c r="O150" i="1"/>
  <c r="K88" i="1"/>
  <c r="J88" i="1"/>
  <c r="N88" i="1" s="1"/>
  <c r="J112" i="1"/>
  <c r="N112" i="1" s="1"/>
  <c r="K12" i="1"/>
  <c r="K96" i="1"/>
  <c r="J96" i="1"/>
  <c r="N96" i="1" s="1"/>
  <c r="H145" i="1"/>
  <c r="L145" i="1" s="1"/>
  <c r="H167" i="1"/>
  <c r="H149" i="1"/>
  <c r="H146" i="1"/>
  <c r="H160" i="1"/>
  <c r="L160" i="1" s="1"/>
  <c r="H151" i="1"/>
  <c r="L151" i="1" s="1"/>
  <c r="H155" i="1"/>
  <c r="L155" i="1" s="1"/>
  <c r="H153" i="1"/>
  <c r="L153" i="1" s="1"/>
  <c r="H170" i="1"/>
  <c r="L170" i="1" s="1"/>
  <c r="H166" i="1"/>
  <c r="L166" i="1" s="1"/>
  <c r="H185" i="1"/>
  <c r="L185" i="1" s="1"/>
  <c r="H148" i="1"/>
  <c r="H172" i="1"/>
  <c r="L172" i="1" s="1"/>
  <c r="H163" i="1"/>
  <c r="H189" i="1"/>
  <c r="L189" i="1" s="1"/>
  <c r="H169" i="1"/>
  <c r="L169" i="1" s="1"/>
  <c r="Q169" i="1" s="1"/>
  <c r="H181" i="1"/>
  <c r="L181" i="1" s="1"/>
  <c r="H184" i="1"/>
  <c r="L184" i="1" s="1"/>
  <c r="Q184" i="1" s="1"/>
  <c r="H158" i="1"/>
  <c r="L158" i="1" s="1"/>
  <c r="H194" i="1"/>
  <c r="L194" i="1" s="1"/>
  <c r="H154" i="1"/>
  <c r="L154" i="1" s="1"/>
  <c r="H159" i="1"/>
  <c r="H152" i="1"/>
  <c r="L152" i="1" s="1"/>
  <c r="H176" i="1"/>
  <c r="L176" i="1" s="1"/>
  <c r="H195" i="1"/>
  <c r="L195" i="1" s="1"/>
  <c r="H180" i="1"/>
  <c r="L180" i="1" s="1"/>
  <c r="H171" i="1"/>
  <c r="H161" i="1"/>
  <c r="L161" i="1" s="1"/>
  <c r="H190" i="1"/>
  <c r="L190" i="1" s="1"/>
  <c r="H147" i="1"/>
  <c r="L147" i="1" s="1"/>
  <c r="K87" i="1"/>
  <c r="J87" i="1"/>
  <c r="N87" i="1" s="1"/>
  <c r="H178" i="1"/>
  <c r="L178" i="1" s="1"/>
  <c r="H188" i="1"/>
  <c r="L188" i="1" s="1"/>
  <c r="G114" i="1"/>
  <c r="K114" i="1" s="1"/>
  <c r="K80" i="1"/>
  <c r="I58" i="1"/>
  <c r="L17" i="1"/>
  <c r="C12" i="16" s="1"/>
  <c r="L24" i="1"/>
  <c r="C19" i="16" s="1"/>
  <c r="J93" i="1"/>
  <c r="N93" i="1" s="1"/>
  <c r="K78" i="1"/>
  <c r="J78" i="1"/>
  <c r="N78" i="1" s="1"/>
  <c r="J85" i="1"/>
  <c r="N85" i="1" s="1"/>
  <c r="K85" i="1"/>
  <c r="J107" i="1"/>
  <c r="K107" i="1"/>
  <c r="H175" i="1"/>
  <c r="L175" i="1" s="1"/>
  <c r="Q175" i="1" s="1"/>
  <c r="H173" i="1"/>
  <c r="L173" i="1" s="1"/>
  <c r="H186" i="1"/>
  <c r="L29" i="1"/>
  <c r="AG7" i="2" s="1"/>
  <c r="N24" i="1"/>
  <c r="E19" i="16" s="1"/>
  <c r="J101" i="1"/>
  <c r="K101" i="1"/>
  <c r="K86" i="1"/>
  <c r="J86" i="1"/>
  <c r="N86" i="1" s="1"/>
  <c r="H174" i="1"/>
  <c r="L174" i="1" s="1"/>
  <c r="K109" i="1"/>
  <c r="J109" i="1"/>
  <c r="O165" i="1"/>
  <c r="H183" i="1"/>
  <c r="L183" i="1" s="1"/>
  <c r="N91" i="1"/>
  <c r="Q95" i="1"/>
  <c r="H25" i="16" s="1"/>
  <c r="I23" i="1"/>
  <c r="N23" i="1" s="1"/>
  <c r="L23" i="1"/>
  <c r="L104" i="1"/>
  <c r="Q104" i="1" s="1"/>
  <c r="G197" i="1"/>
  <c r="K197" i="1" s="1"/>
  <c r="K191" i="1"/>
  <c r="G196" i="1"/>
  <c r="K177" i="1"/>
  <c r="Q177" i="1" s="1"/>
  <c r="O177" i="1"/>
  <c r="I18" i="1"/>
  <c r="L32" i="1"/>
  <c r="I32" i="1"/>
  <c r="N32" i="1" s="1"/>
  <c r="E27" i="16" s="1"/>
  <c r="J77" i="1"/>
  <c r="I36" i="1"/>
  <c r="I27" i="1"/>
  <c r="I50" i="1"/>
  <c r="K51" i="1"/>
  <c r="N51" i="1" s="1"/>
  <c r="S51" i="1" s="1"/>
  <c r="L87" i="1"/>
  <c r="G182" i="1"/>
  <c r="K182" i="1" s="1"/>
  <c r="K145" i="1"/>
  <c r="I114" i="1"/>
  <c r="M114" i="1" s="1"/>
  <c r="O95" i="1"/>
  <c r="P95" i="1" s="1"/>
  <c r="I31" i="1"/>
  <c r="N31" i="1" s="1"/>
  <c r="E26" i="16" s="1"/>
  <c r="L43" i="1"/>
  <c r="J43" i="1"/>
  <c r="N43" i="1" s="1"/>
  <c r="G18" i="1"/>
  <c r="J18" i="1" s="1"/>
  <c r="G53" i="1"/>
  <c r="G52" i="1"/>
  <c r="G14" i="1"/>
  <c r="G25" i="1"/>
  <c r="G36" i="1"/>
  <c r="J36" i="1" s="1"/>
  <c r="G16" i="1"/>
  <c r="G27" i="1"/>
  <c r="J27" i="1" s="1"/>
  <c r="G59" i="1"/>
  <c r="J59" i="1" s="1"/>
  <c r="G55" i="1"/>
  <c r="G15" i="1"/>
  <c r="G60" i="1"/>
  <c r="G57" i="1"/>
  <c r="G22" i="1"/>
  <c r="E30" i="16"/>
  <c r="N30" i="16" s="1"/>
  <c r="G54" i="1"/>
  <c r="J54" i="1" s="1"/>
  <c r="G56" i="1"/>
  <c r="G47" i="1"/>
  <c r="G40" i="1"/>
  <c r="G12" i="1"/>
  <c r="G38" i="1"/>
  <c r="G19" i="1"/>
  <c r="G34" i="1"/>
  <c r="G33" i="1"/>
  <c r="G26" i="1"/>
  <c r="G58" i="1"/>
  <c r="G28" i="1"/>
  <c r="G39" i="1"/>
  <c r="G21" i="1"/>
  <c r="J21" i="1" s="1"/>
  <c r="N21" i="1" s="1"/>
  <c r="E16" i="16" s="1"/>
  <c r="G13" i="1"/>
  <c r="G30" i="1"/>
  <c r="J30" i="1" s="1"/>
  <c r="N30" i="1" s="1"/>
  <c r="G20" i="1"/>
  <c r="G45" i="1"/>
  <c r="G46" i="1"/>
  <c r="G37" i="1"/>
  <c r="G42" i="1"/>
  <c r="I41" i="1"/>
  <c r="I54" i="1"/>
  <c r="M113" i="1"/>
  <c r="J118" i="1"/>
  <c r="J123" i="1"/>
  <c r="J119" i="1"/>
  <c r="N119" i="1" s="1"/>
  <c r="Q119" i="1" s="1"/>
  <c r="S119" i="1" s="1"/>
  <c r="J120" i="1"/>
  <c r="J122" i="1"/>
  <c r="J126" i="1"/>
  <c r="N126" i="1" s="1"/>
  <c r="J117" i="1"/>
  <c r="J116" i="1"/>
  <c r="J127" i="1"/>
  <c r="L90" i="1"/>
  <c r="Q90" i="1" s="1"/>
  <c r="E90" i="19"/>
  <c r="K162" i="1"/>
  <c r="Q162" i="1" s="1"/>
  <c r="O162" i="1"/>
  <c r="O79" i="1"/>
  <c r="O121" i="1"/>
  <c r="N89" i="1"/>
  <c r="O89" i="1"/>
  <c r="Q48" i="19"/>
  <c r="N80" i="1"/>
  <c r="M188" i="1"/>
  <c r="I182" i="1"/>
  <c r="M147" i="1"/>
  <c r="M146" i="1"/>
  <c r="M195" i="1"/>
  <c r="M181" i="1"/>
  <c r="M189" i="1"/>
  <c r="M190" i="1"/>
  <c r="M160" i="1"/>
  <c r="M158" i="1"/>
  <c r="M172" i="1"/>
  <c r="M176" i="1"/>
  <c r="M174" i="1"/>
  <c r="M154" i="1"/>
  <c r="Q154" i="1" s="1"/>
  <c r="BM50" i="19" s="1"/>
  <c r="M161" i="1"/>
  <c r="M173" i="1"/>
  <c r="M145" i="1"/>
  <c r="O145" i="1"/>
  <c r="M194" i="1"/>
  <c r="M178" i="1"/>
  <c r="M185" i="1"/>
  <c r="M170" i="1"/>
  <c r="M153" i="1"/>
  <c r="M166" i="1"/>
  <c r="M151" i="1"/>
  <c r="M183" i="1"/>
  <c r="BL18" i="19"/>
  <c r="R20" i="2"/>
  <c r="M180" i="1"/>
  <c r="M155" i="1"/>
  <c r="L16" i="2"/>
  <c r="AT17" i="19"/>
  <c r="M16" i="2"/>
  <c r="AU17" i="19"/>
  <c r="J16" i="2"/>
  <c r="AU16" i="19"/>
  <c r="G16" i="2"/>
  <c r="AU15" i="19"/>
  <c r="F16" i="2"/>
  <c r="AT15" i="19"/>
  <c r="V17" i="19"/>
  <c r="L11" i="2"/>
  <c r="W17" i="19"/>
  <c r="M11" i="2"/>
  <c r="G11" i="2"/>
  <c r="W15" i="19"/>
  <c r="K8" i="2"/>
  <c r="G17" i="19"/>
  <c r="G54" i="6"/>
  <c r="E53" i="6"/>
  <c r="I33" i="6"/>
  <c r="G8" i="2"/>
  <c r="I15" i="19"/>
  <c r="M9" i="2"/>
  <c r="M17" i="19"/>
  <c r="I9" i="2"/>
  <c r="L16" i="19"/>
  <c r="J9" i="2"/>
  <c r="M16" i="19"/>
  <c r="L15" i="19"/>
  <c r="F9" i="2"/>
  <c r="M15" i="19"/>
  <c r="G9" i="2"/>
  <c r="AA27" i="24" l="1"/>
  <c r="AA11" i="23"/>
  <c r="AA26" i="24"/>
  <c r="AA8" i="23"/>
  <c r="AA21" i="23" s="1"/>
  <c r="AC26" i="24"/>
  <c r="AC8" i="23"/>
  <c r="AC27" i="24"/>
  <c r="AC11" i="23"/>
  <c r="G28" i="24"/>
  <c r="S121" i="1"/>
  <c r="AC7" i="2"/>
  <c r="P20" i="2"/>
  <c r="BM20" i="19"/>
  <c r="J182" i="1"/>
  <c r="N182" i="1" s="1"/>
  <c r="Q112" i="1"/>
  <c r="H44" i="16" s="1"/>
  <c r="O123" i="1"/>
  <c r="P123" i="1" s="1"/>
  <c r="L123" i="1"/>
  <c r="Q123" i="1" s="1"/>
  <c r="E12" i="16"/>
  <c r="N41" i="1"/>
  <c r="N157" i="1"/>
  <c r="Q157" i="1" s="1"/>
  <c r="BM53" i="19" s="1"/>
  <c r="H129" i="1"/>
  <c r="L129" i="1" s="1"/>
  <c r="K196" i="1"/>
  <c r="O91" i="1"/>
  <c r="P91" i="1" s="1"/>
  <c r="Q152" i="1"/>
  <c r="BM48" i="19" s="1"/>
  <c r="O187" i="1"/>
  <c r="P187" i="1" s="1"/>
  <c r="O81" i="1"/>
  <c r="Q27" i="19" s="1"/>
  <c r="Q195" i="1"/>
  <c r="BM116" i="19" s="1"/>
  <c r="S115" i="19"/>
  <c r="L41" i="1"/>
  <c r="C37" i="16" s="1"/>
  <c r="S128" i="1"/>
  <c r="H62" i="1"/>
  <c r="K62" i="1" s="1"/>
  <c r="Q89" i="1"/>
  <c r="H128" i="1"/>
  <c r="L128" i="1" s="1"/>
  <c r="O103" i="1"/>
  <c r="Q84" i="19" s="1"/>
  <c r="Q91" i="1"/>
  <c r="O164" i="1"/>
  <c r="P164" i="1" s="1"/>
  <c r="J26" i="16" s="1"/>
  <c r="Q111" i="1"/>
  <c r="S111" i="19" s="1"/>
  <c r="O156" i="1"/>
  <c r="BK52" i="19" s="1"/>
  <c r="J196" i="1"/>
  <c r="N196" i="1" s="1"/>
  <c r="I33" i="3"/>
  <c r="H19" i="2"/>
  <c r="BG16" i="19"/>
  <c r="E43" i="3"/>
  <c r="G43" i="3" s="1"/>
  <c r="I19" i="2"/>
  <c r="BH16" i="19"/>
  <c r="M18" i="2"/>
  <c r="BC17" i="19"/>
  <c r="G19" i="2"/>
  <c r="BI15" i="19"/>
  <c r="AY17" i="19"/>
  <c r="M17" i="2"/>
  <c r="AY16" i="19"/>
  <c r="J17" i="2"/>
  <c r="BI17" i="19"/>
  <c r="M19" i="2"/>
  <c r="AA15" i="19"/>
  <c r="G12" i="2"/>
  <c r="F11" i="16"/>
  <c r="L50" i="1"/>
  <c r="C91" i="19" s="1"/>
  <c r="Q92" i="1"/>
  <c r="S56" i="19" s="1"/>
  <c r="Q108" i="1"/>
  <c r="H39" i="16" s="1"/>
  <c r="O174" i="1"/>
  <c r="BK87" i="19" s="1"/>
  <c r="N50" i="1"/>
  <c r="O108" i="1"/>
  <c r="Q89" i="19" s="1"/>
  <c r="Q174" i="1"/>
  <c r="BM87" i="19" s="1"/>
  <c r="C28" i="19"/>
  <c r="O99" i="1"/>
  <c r="Q81" i="19" s="1"/>
  <c r="O180" i="1"/>
  <c r="I44" i="16" s="1"/>
  <c r="Q183" i="1"/>
  <c r="BM91" i="19" s="1"/>
  <c r="H11" i="16"/>
  <c r="Q113" i="1"/>
  <c r="S113" i="19" s="1"/>
  <c r="O98" i="1"/>
  <c r="Q80" i="19" s="1"/>
  <c r="Q93" i="1"/>
  <c r="H23" i="16" s="1"/>
  <c r="O183" i="1"/>
  <c r="P183" i="1" s="1"/>
  <c r="Q147" i="1"/>
  <c r="K9" i="16" s="1"/>
  <c r="Q115" i="1"/>
  <c r="H114" i="1"/>
  <c r="L114" i="1" s="1"/>
  <c r="O195" i="1"/>
  <c r="BK116" i="19" s="1"/>
  <c r="O172" i="1"/>
  <c r="P172" i="1" s="1"/>
  <c r="O160" i="1"/>
  <c r="BK56" i="19" s="1"/>
  <c r="Q181" i="1"/>
  <c r="BM113" i="19" s="1"/>
  <c r="H33" i="16"/>
  <c r="C90" i="19"/>
  <c r="O80" i="1"/>
  <c r="F10" i="16" s="1"/>
  <c r="Q110" i="1"/>
  <c r="H42" i="16" s="1"/>
  <c r="E60" i="19"/>
  <c r="O113" i="1"/>
  <c r="Q113" i="19" s="1"/>
  <c r="Q79" i="1"/>
  <c r="H9" i="16" s="1"/>
  <c r="S89" i="19"/>
  <c r="O178" i="1"/>
  <c r="P178" i="1" s="1"/>
  <c r="Q151" i="1"/>
  <c r="K13" i="16" s="1"/>
  <c r="O170" i="1"/>
  <c r="I32" i="16" s="1"/>
  <c r="Q178" i="1"/>
  <c r="K42" i="16" s="1"/>
  <c r="Q172" i="1"/>
  <c r="K34" i="16" s="1"/>
  <c r="Q160" i="1"/>
  <c r="K22" i="16" s="1"/>
  <c r="O181" i="1"/>
  <c r="BK113" i="19" s="1"/>
  <c r="Q59" i="19"/>
  <c r="M44" i="1"/>
  <c r="D90" i="19" s="1"/>
  <c r="O87" i="1"/>
  <c r="F17" i="16" s="1"/>
  <c r="K26" i="16"/>
  <c r="O154" i="1"/>
  <c r="BK50" i="19" s="1"/>
  <c r="P84" i="1"/>
  <c r="R48" i="19" s="1"/>
  <c r="O115" i="1"/>
  <c r="P115" i="1" s="1"/>
  <c r="R91" i="19" s="1"/>
  <c r="O92" i="1"/>
  <c r="P92" i="1" s="1"/>
  <c r="R56" i="19" s="1"/>
  <c r="O166" i="1"/>
  <c r="BK80" i="19" s="1"/>
  <c r="Q170" i="1"/>
  <c r="BM83" i="19" s="1"/>
  <c r="Q190" i="1"/>
  <c r="K27" i="16"/>
  <c r="O82" i="1"/>
  <c r="Q28" i="19" s="1"/>
  <c r="S59" i="19"/>
  <c r="I18" i="16"/>
  <c r="Q158" i="1"/>
  <c r="K20" i="16" s="1"/>
  <c r="E79" i="19"/>
  <c r="O111" i="1"/>
  <c r="F43" i="16" s="1"/>
  <c r="BM52" i="19"/>
  <c r="O110" i="1"/>
  <c r="P110" i="1" s="1"/>
  <c r="G42" i="16" s="1"/>
  <c r="P156" i="1"/>
  <c r="J18" i="16" s="1"/>
  <c r="O185" i="1"/>
  <c r="O158" i="1"/>
  <c r="BK54" i="19" s="1"/>
  <c r="O190" i="1"/>
  <c r="P81" i="1"/>
  <c r="G11" i="16" s="1"/>
  <c r="S48" i="19"/>
  <c r="BK60" i="19"/>
  <c r="P94" i="1"/>
  <c r="AH10" i="2" s="1"/>
  <c r="Q98" i="1"/>
  <c r="H28" i="16" s="1"/>
  <c r="Q83" i="1"/>
  <c r="S47" i="19" s="1"/>
  <c r="Q106" i="1"/>
  <c r="S87" i="19" s="1"/>
  <c r="H22" i="16"/>
  <c r="AG10" i="2"/>
  <c r="AG21" i="2" s="1"/>
  <c r="O155" i="1"/>
  <c r="I17" i="16" s="1"/>
  <c r="Q188" i="1"/>
  <c r="F25" i="16"/>
  <c r="E53" i="19"/>
  <c r="Q58" i="19"/>
  <c r="N59" i="1"/>
  <c r="O102" i="1"/>
  <c r="F32" i="16" s="1"/>
  <c r="O152" i="1"/>
  <c r="BK48" i="19" s="1"/>
  <c r="O97" i="1"/>
  <c r="Q155" i="1"/>
  <c r="BM51" i="19" s="1"/>
  <c r="Q189" i="1"/>
  <c r="O147" i="1"/>
  <c r="I9" i="16" s="1"/>
  <c r="C58" i="19"/>
  <c r="L59" i="1"/>
  <c r="C115" i="19" s="1"/>
  <c r="Q102" i="1"/>
  <c r="H32" i="16" s="1"/>
  <c r="BM111" i="19"/>
  <c r="K43" i="16"/>
  <c r="Q194" i="1"/>
  <c r="BM115" i="19" s="1"/>
  <c r="H24" i="16"/>
  <c r="O126" i="1"/>
  <c r="Q115" i="19" s="1"/>
  <c r="O112" i="1"/>
  <c r="P112" i="1" s="1"/>
  <c r="R112" i="19" s="1"/>
  <c r="O179" i="1"/>
  <c r="P179" i="1" s="1"/>
  <c r="M31" i="1"/>
  <c r="C26" i="16"/>
  <c r="O151" i="1"/>
  <c r="BK47" i="19" s="1"/>
  <c r="Q153" i="1"/>
  <c r="BM49" i="19" s="1"/>
  <c r="M17" i="1"/>
  <c r="D12" i="16" s="1"/>
  <c r="C24" i="16"/>
  <c r="AI10" i="2"/>
  <c r="AI21" i="2" s="1"/>
  <c r="L54" i="1"/>
  <c r="C20" i="19" s="1"/>
  <c r="C53" i="19"/>
  <c r="O106" i="1"/>
  <c r="O88" i="1"/>
  <c r="E24" i="16"/>
  <c r="E58" i="19"/>
  <c r="J48" i="1"/>
  <c r="N48" i="1" s="1"/>
  <c r="E45" i="16" s="1"/>
  <c r="L48" i="1"/>
  <c r="Q173" i="1"/>
  <c r="BM86" i="19" s="1"/>
  <c r="O184" i="1"/>
  <c r="Q78" i="1"/>
  <c r="O93" i="1"/>
  <c r="F23" i="16" s="1"/>
  <c r="O173" i="1"/>
  <c r="Q86" i="1"/>
  <c r="S50" i="19" s="1"/>
  <c r="O83" i="1"/>
  <c r="BK20" i="19"/>
  <c r="BM15" i="19"/>
  <c r="G20" i="2"/>
  <c r="K31" i="16"/>
  <c r="BM82" i="19"/>
  <c r="E59" i="19"/>
  <c r="E25" i="16"/>
  <c r="G21" i="16"/>
  <c r="R55" i="19"/>
  <c r="BK79" i="19"/>
  <c r="P165" i="1"/>
  <c r="I27" i="16"/>
  <c r="O86" i="1"/>
  <c r="L148" i="1"/>
  <c r="Q148" i="1" s="1"/>
  <c r="O148" i="1"/>
  <c r="H182" i="1"/>
  <c r="L182" i="1" s="1"/>
  <c r="L146" i="1"/>
  <c r="Q146" i="1" s="1"/>
  <c r="O153" i="1"/>
  <c r="N20" i="2"/>
  <c r="Q176" i="1"/>
  <c r="K39" i="16" s="1"/>
  <c r="S112" i="19"/>
  <c r="E50" i="19"/>
  <c r="O169" i="1"/>
  <c r="M24" i="1"/>
  <c r="D53" i="19" s="1"/>
  <c r="N109" i="1"/>
  <c r="Q109" i="1" s="1"/>
  <c r="O109" i="1"/>
  <c r="O175" i="1"/>
  <c r="L171" i="1"/>
  <c r="Q171" i="1" s="1"/>
  <c r="O171" i="1"/>
  <c r="L149" i="1"/>
  <c r="Q149" i="1" s="1"/>
  <c r="O149" i="1"/>
  <c r="O96" i="1"/>
  <c r="O188" i="1"/>
  <c r="BK28" i="19"/>
  <c r="I12" i="16"/>
  <c r="P150" i="1"/>
  <c r="O146" i="1"/>
  <c r="O176" i="1"/>
  <c r="I39" i="16" s="1"/>
  <c r="J114" i="1"/>
  <c r="N114" i="1" s="1"/>
  <c r="M29" i="1"/>
  <c r="D24" i="16" s="1"/>
  <c r="O161" i="1"/>
  <c r="O105" i="1"/>
  <c r="F36" i="16" s="1"/>
  <c r="L186" i="1"/>
  <c r="Q186" i="1" s="1"/>
  <c r="M28" i="24" s="1"/>
  <c r="O186" i="1"/>
  <c r="K28" i="24" s="1"/>
  <c r="N107" i="1"/>
  <c r="Q107" i="1" s="1"/>
  <c r="O107" i="1"/>
  <c r="L159" i="1"/>
  <c r="Q159" i="1" s="1"/>
  <c r="O159" i="1"/>
  <c r="L163" i="1"/>
  <c r="Q163" i="1" s="1"/>
  <c r="O163" i="1"/>
  <c r="L167" i="1"/>
  <c r="Q167" i="1" s="1"/>
  <c r="O167" i="1"/>
  <c r="Q96" i="1"/>
  <c r="Q180" i="1"/>
  <c r="K44" i="16" s="1"/>
  <c r="Q166" i="1"/>
  <c r="K28" i="16" s="1"/>
  <c r="Q185" i="1"/>
  <c r="O194" i="1"/>
  <c r="Q161" i="1"/>
  <c r="BM57" i="19" s="1"/>
  <c r="O189" i="1"/>
  <c r="Q80" i="1"/>
  <c r="S26" i="19" s="1"/>
  <c r="O85" i="1"/>
  <c r="F15" i="16" s="1"/>
  <c r="Q87" i="1"/>
  <c r="O78" i="1"/>
  <c r="P78" i="1" s="1"/>
  <c r="N18" i="1"/>
  <c r="E47" i="19" s="1"/>
  <c r="Q105" i="1"/>
  <c r="L35" i="1"/>
  <c r="L21" i="1"/>
  <c r="N101" i="1"/>
  <c r="Q101" i="1" s="1"/>
  <c r="O101" i="1"/>
  <c r="Q85" i="1"/>
  <c r="L191" i="1"/>
  <c r="H197" i="1"/>
  <c r="L197" i="1" s="1"/>
  <c r="H196" i="1"/>
  <c r="L196" i="1" s="1"/>
  <c r="Q88" i="1"/>
  <c r="Q99" i="1"/>
  <c r="E87" i="19"/>
  <c r="E37" i="16"/>
  <c r="P10" i="2"/>
  <c r="S20" i="19"/>
  <c r="S55" i="19"/>
  <c r="H21" i="16"/>
  <c r="AI20" i="2"/>
  <c r="BM58" i="19"/>
  <c r="K24" i="16"/>
  <c r="P90" i="1"/>
  <c r="Q54" i="19"/>
  <c r="F20" i="16"/>
  <c r="N117" i="1"/>
  <c r="Q117" i="1" s="1"/>
  <c r="O117" i="1"/>
  <c r="E89" i="19"/>
  <c r="E39" i="16"/>
  <c r="L46" i="1"/>
  <c r="J46" i="1"/>
  <c r="N46" i="1" s="1"/>
  <c r="J13" i="1"/>
  <c r="N13" i="1" s="1"/>
  <c r="L13" i="1"/>
  <c r="J58" i="1"/>
  <c r="N58" i="1" s="1"/>
  <c r="G62" i="1"/>
  <c r="G61" i="1"/>
  <c r="J19" i="1"/>
  <c r="N19" i="1" s="1"/>
  <c r="L19" i="1"/>
  <c r="J47" i="1"/>
  <c r="N47" i="1" s="1"/>
  <c r="L47" i="1"/>
  <c r="J22" i="1"/>
  <c r="N22" i="1" s="1"/>
  <c r="L22" i="1"/>
  <c r="J55" i="1"/>
  <c r="N55" i="1" s="1"/>
  <c r="S55" i="1" s="1"/>
  <c r="L55" i="1"/>
  <c r="J53" i="1"/>
  <c r="N53" i="1" s="1"/>
  <c r="S53" i="1" s="1"/>
  <c r="L53" i="1"/>
  <c r="BK53" i="19"/>
  <c r="P157" i="1"/>
  <c r="I19" i="16"/>
  <c r="AC10" i="2"/>
  <c r="S21" i="19"/>
  <c r="E15" i="19"/>
  <c r="G7" i="2"/>
  <c r="L27" i="1"/>
  <c r="BM90" i="19"/>
  <c r="K40" i="16"/>
  <c r="P104" i="1"/>
  <c r="F34" i="16"/>
  <c r="Q85" i="19"/>
  <c r="O119" i="1"/>
  <c r="Q145" i="1"/>
  <c r="K7" i="16" s="1"/>
  <c r="J129" i="1"/>
  <c r="N123" i="1"/>
  <c r="J128" i="1"/>
  <c r="N128" i="1" s="1"/>
  <c r="N54" i="1"/>
  <c r="S54" i="1" s="1"/>
  <c r="J45" i="1"/>
  <c r="N45" i="1" s="1"/>
  <c r="L45" i="1"/>
  <c r="J26" i="1"/>
  <c r="N26" i="1" s="1"/>
  <c r="L26" i="1"/>
  <c r="J38" i="1"/>
  <c r="N38" i="1" s="1"/>
  <c r="L38" i="1"/>
  <c r="J56" i="1"/>
  <c r="N56" i="1" s="1"/>
  <c r="L56" i="1"/>
  <c r="J57" i="1"/>
  <c r="N57" i="1" s="1"/>
  <c r="S57" i="1" s="1"/>
  <c r="L57" i="1"/>
  <c r="J25" i="1"/>
  <c r="N25" i="1" s="1"/>
  <c r="L25" i="1"/>
  <c r="M51" i="1"/>
  <c r="E7" i="2"/>
  <c r="C15" i="19"/>
  <c r="L36" i="1"/>
  <c r="N77" i="1"/>
  <c r="Q77" i="1" s="1"/>
  <c r="O77" i="1"/>
  <c r="M23" i="1"/>
  <c r="C52" i="19"/>
  <c r="C18" i="16"/>
  <c r="Q55" i="19"/>
  <c r="P79" i="1"/>
  <c r="Q25" i="19"/>
  <c r="F9" i="16"/>
  <c r="N127" i="1"/>
  <c r="Q127" i="1" s="1"/>
  <c r="O127" i="1"/>
  <c r="N122" i="1"/>
  <c r="Q122" i="1" s="1"/>
  <c r="O122" i="1"/>
  <c r="N118" i="1"/>
  <c r="Q118" i="1" s="1"/>
  <c r="O118" i="1"/>
  <c r="BM88" i="19"/>
  <c r="K38" i="16"/>
  <c r="C87" i="19"/>
  <c r="M41" i="1"/>
  <c r="L42" i="1"/>
  <c r="J42" i="1"/>
  <c r="N42" i="1" s="1"/>
  <c r="J20" i="1"/>
  <c r="N20" i="1" s="1"/>
  <c r="L20" i="1"/>
  <c r="L39" i="1"/>
  <c r="J39" i="1"/>
  <c r="N39" i="1" s="1"/>
  <c r="L33" i="1"/>
  <c r="J33" i="1"/>
  <c r="N33" i="1" s="1"/>
  <c r="G49" i="1"/>
  <c r="J12" i="1"/>
  <c r="N12" i="1" s="1"/>
  <c r="L12" i="1"/>
  <c r="J60" i="1"/>
  <c r="N60" i="1" s="1"/>
  <c r="L60" i="1"/>
  <c r="L14" i="1"/>
  <c r="J14" i="1"/>
  <c r="N14" i="1" s="1"/>
  <c r="S54" i="19"/>
  <c r="H20" i="16"/>
  <c r="N36" i="1"/>
  <c r="M32" i="1"/>
  <c r="C27" i="16"/>
  <c r="C79" i="19"/>
  <c r="E18" i="16"/>
  <c r="E52" i="19"/>
  <c r="P121" i="1"/>
  <c r="AA7" i="2"/>
  <c r="Q21" i="19"/>
  <c r="AA10" i="2"/>
  <c r="AG20" i="2"/>
  <c r="BK58" i="19"/>
  <c r="I24" i="16"/>
  <c r="P162" i="1"/>
  <c r="N116" i="1"/>
  <c r="Q116" i="1" s="1"/>
  <c r="O116" i="1"/>
  <c r="N120" i="1"/>
  <c r="Q120" i="1" s="1"/>
  <c r="O120" i="1"/>
  <c r="J37" i="1"/>
  <c r="N37" i="1" s="1"/>
  <c r="L37" i="1"/>
  <c r="J28" i="1"/>
  <c r="N28" i="1" s="1"/>
  <c r="L28" i="1"/>
  <c r="L34" i="1"/>
  <c r="J34" i="1"/>
  <c r="N34" i="1" s="1"/>
  <c r="J40" i="1"/>
  <c r="N40" i="1" s="1"/>
  <c r="L40" i="1"/>
  <c r="J15" i="1"/>
  <c r="N15" i="1" s="1"/>
  <c r="L15" i="1"/>
  <c r="J16" i="1"/>
  <c r="N16" i="1" s="1"/>
  <c r="L16" i="1"/>
  <c r="J52" i="1"/>
  <c r="N52" i="1" s="1"/>
  <c r="S52" i="1" s="1"/>
  <c r="L52" i="1"/>
  <c r="M43" i="1"/>
  <c r="C89" i="19"/>
  <c r="C39" i="16"/>
  <c r="BL60" i="19"/>
  <c r="N27" i="1"/>
  <c r="L18" i="1"/>
  <c r="P177" i="1"/>
  <c r="I40" i="16"/>
  <c r="BK90" i="19"/>
  <c r="S85" i="19"/>
  <c r="H34" i="16"/>
  <c r="L30" i="1"/>
  <c r="L58" i="1"/>
  <c r="S79" i="19"/>
  <c r="H27" i="16"/>
  <c r="Q53" i="19"/>
  <c r="F19" i="16"/>
  <c r="P89" i="1"/>
  <c r="S53" i="19"/>
  <c r="H19" i="16"/>
  <c r="H12" i="16"/>
  <c r="S28" i="19"/>
  <c r="P111" i="1"/>
  <c r="R59" i="19"/>
  <c r="G25" i="16"/>
  <c r="M182" i="1"/>
  <c r="P145" i="1"/>
  <c r="BK23" i="19"/>
  <c r="I7" i="16"/>
  <c r="BM85" i="19"/>
  <c r="BK114" i="19"/>
  <c r="K16" i="16"/>
  <c r="P166" i="1"/>
  <c r="K32" i="16"/>
  <c r="I37" i="16"/>
  <c r="O20" i="2"/>
  <c r="BL20" i="19"/>
  <c r="M8" i="2"/>
  <c r="I17" i="19"/>
  <c r="G16" i="19"/>
  <c r="H8" i="2"/>
  <c r="G53" i="6"/>
  <c r="S118" i="1" l="1"/>
  <c r="M27" i="24"/>
  <c r="M29" i="24" s="1"/>
  <c r="M11" i="23"/>
  <c r="M21" i="23" s="1"/>
  <c r="P185" i="1"/>
  <c r="I28" i="24" s="1"/>
  <c r="I30" i="24" s="1"/>
  <c r="H28" i="24"/>
  <c r="S120" i="1"/>
  <c r="S27" i="24"/>
  <c r="S29" i="24" s="1"/>
  <c r="S11" i="23"/>
  <c r="S21" i="23" s="1"/>
  <c r="X11" i="23"/>
  <c r="X21" i="23" s="1"/>
  <c r="X27" i="24"/>
  <c r="S117" i="1"/>
  <c r="J27" i="24"/>
  <c r="J11" i="23"/>
  <c r="J21" i="23" s="1"/>
  <c r="E27" i="24"/>
  <c r="E11" i="23"/>
  <c r="E21" i="23" s="1"/>
  <c r="S122" i="1"/>
  <c r="Z27" i="24"/>
  <c r="Z11" i="23"/>
  <c r="Z21" i="23" s="1"/>
  <c r="BK21" i="19"/>
  <c r="AA28" i="24"/>
  <c r="AA29" i="24" s="1"/>
  <c r="AA31" i="24" s="1"/>
  <c r="BM21" i="19"/>
  <c r="AC28" i="24"/>
  <c r="X20" i="2"/>
  <c r="X28" i="24"/>
  <c r="AC21" i="23"/>
  <c r="Q27" i="24"/>
  <c r="Q29" i="24" s="1"/>
  <c r="Q31" i="24" s="1"/>
  <c r="Q11" i="23"/>
  <c r="Q21" i="23" s="1"/>
  <c r="H11" i="23"/>
  <c r="H21" i="23" s="1"/>
  <c r="H27" i="24"/>
  <c r="J20" i="2"/>
  <c r="J28" i="24"/>
  <c r="G27" i="24"/>
  <c r="G29" i="24" s="1"/>
  <c r="G11" i="23"/>
  <c r="G21" i="23" s="1"/>
  <c r="AB11" i="23"/>
  <c r="AB26" i="24"/>
  <c r="AB8" i="23"/>
  <c r="AB27" i="24"/>
  <c r="K27" i="24"/>
  <c r="K29" i="24" s="1"/>
  <c r="K31" i="24" s="1"/>
  <c r="K11" i="23"/>
  <c r="K21" i="23" s="1"/>
  <c r="BM19" i="19"/>
  <c r="Z28" i="24"/>
  <c r="AC29" i="24"/>
  <c r="G21" i="2"/>
  <c r="P184" i="1"/>
  <c r="BL15" i="19" s="1"/>
  <c r="E28" i="24"/>
  <c r="E29" i="24" s="1"/>
  <c r="E31" i="24" s="1"/>
  <c r="N12" i="16"/>
  <c r="H43" i="20" s="1"/>
  <c r="H43" i="16"/>
  <c r="F33" i="16"/>
  <c r="S116" i="19"/>
  <c r="S127" i="1"/>
  <c r="E21" i="19"/>
  <c r="BK91" i="19"/>
  <c r="S92" i="19"/>
  <c r="P103" i="1"/>
  <c r="F21" i="16"/>
  <c r="M50" i="1"/>
  <c r="D91" i="19" s="1"/>
  <c r="K19" i="16"/>
  <c r="S114" i="19"/>
  <c r="K14" i="16"/>
  <c r="O196" i="1"/>
  <c r="E115" i="19"/>
  <c r="S59" i="1"/>
  <c r="E91" i="19"/>
  <c r="S50" i="1"/>
  <c r="S117" i="19"/>
  <c r="E116" i="19"/>
  <c r="S60" i="1"/>
  <c r="E114" i="19"/>
  <c r="S58" i="1"/>
  <c r="I26" i="16"/>
  <c r="S91" i="19"/>
  <c r="S115" i="1"/>
  <c r="Q191" i="1"/>
  <c r="BM114" i="19" s="1"/>
  <c r="Q196" i="1"/>
  <c r="BM117" i="19" s="1"/>
  <c r="J19" i="2"/>
  <c r="BI16" i="19"/>
  <c r="P126" i="1"/>
  <c r="R115" i="19" s="1"/>
  <c r="G22" i="16"/>
  <c r="BK16" i="19"/>
  <c r="P174" i="1"/>
  <c r="I28" i="16"/>
  <c r="BL52" i="19"/>
  <c r="R58" i="19"/>
  <c r="I45" i="16"/>
  <c r="K45" i="16"/>
  <c r="BM92" i="19"/>
  <c r="R183" i="1"/>
  <c r="R27" i="19"/>
  <c r="E113" i="19"/>
  <c r="P154" i="1"/>
  <c r="J16" i="16" s="1"/>
  <c r="P170" i="1"/>
  <c r="J32" i="16" s="1"/>
  <c r="N7" i="2"/>
  <c r="N21" i="2" s="1"/>
  <c r="I16" i="16"/>
  <c r="P108" i="1"/>
  <c r="P181" i="1"/>
  <c r="BL113" i="19" s="1"/>
  <c r="BK83" i="19"/>
  <c r="F22" i="16"/>
  <c r="P152" i="1"/>
  <c r="J14" i="16" s="1"/>
  <c r="P147" i="1"/>
  <c r="J9" i="16" s="1"/>
  <c r="K37" i="16"/>
  <c r="BK112" i="19"/>
  <c r="Q111" i="19"/>
  <c r="F28" i="16"/>
  <c r="F39" i="16"/>
  <c r="L39" i="16" s="1"/>
  <c r="BK85" i="19"/>
  <c r="K15" i="16"/>
  <c r="N27" i="16"/>
  <c r="D80" i="20" s="1"/>
  <c r="P105" i="1"/>
  <c r="R86" i="19" s="1"/>
  <c r="M54" i="1"/>
  <c r="D20" i="19" s="1"/>
  <c r="Q114" i="1"/>
  <c r="Q56" i="19"/>
  <c r="S57" i="19"/>
  <c r="I14" i="16"/>
  <c r="BK19" i="19"/>
  <c r="BM47" i="19"/>
  <c r="P98" i="1"/>
  <c r="R80" i="19" s="1"/>
  <c r="S83" i="19"/>
  <c r="P190" i="1"/>
  <c r="P180" i="1"/>
  <c r="I22" i="16"/>
  <c r="G14" i="16"/>
  <c r="P102" i="1"/>
  <c r="G32" i="16" s="1"/>
  <c r="P113" i="1"/>
  <c r="G45" i="16" s="1"/>
  <c r="P99" i="1"/>
  <c r="R81" i="19" s="1"/>
  <c r="BM25" i="19"/>
  <c r="H37" i="16"/>
  <c r="H45" i="16"/>
  <c r="S25" i="19"/>
  <c r="L41" i="16"/>
  <c r="N41" i="16"/>
  <c r="D109" i="20" s="1"/>
  <c r="P160" i="1"/>
  <c r="J22" i="16" s="1"/>
  <c r="D40" i="16"/>
  <c r="F29" i="16"/>
  <c r="I42" i="16"/>
  <c r="I34" i="16"/>
  <c r="F45" i="16"/>
  <c r="Q26" i="19"/>
  <c r="P195" i="1"/>
  <c r="BL116" i="19" s="1"/>
  <c r="S80" i="19"/>
  <c r="Q49" i="19"/>
  <c r="P80" i="1"/>
  <c r="I20" i="16"/>
  <c r="BM56" i="19"/>
  <c r="P151" i="1"/>
  <c r="J13" i="16" s="1"/>
  <c r="Q91" i="19"/>
  <c r="Q51" i="19"/>
  <c r="Z20" i="2"/>
  <c r="BM16" i="19"/>
  <c r="BK92" i="19"/>
  <c r="AH7" i="2"/>
  <c r="H10" i="16"/>
  <c r="P87" i="1"/>
  <c r="G17" i="16" s="1"/>
  <c r="BL48" i="19"/>
  <c r="BM54" i="19"/>
  <c r="BK51" i="19"/>
  <c r="Q182" i="1"/>
  <c r="D28" i="19"/>
  <c r="G24" i="16"/>
  <c r="F12" i="16"/>
  <c r="L12" i="16" s="1"/>
  <c r="H20" i="2"/>
  <c r="P82" i="1"/>
  <c r="R28" i="19" s="1"/>
  <c r="M59" i="1"/>
  <c r="D115" i="19" s="1"/>
  <c r="O197" i="1"/>
  <c r="P197" i="1" s="1"/>
  <c r="P158" i="1"/>
  <c r="J20" i="16" s="1"/>
  <c r="P155" i="1"/>
  <c r="BL51" i="19" s="1"/>
  <c r="D58" i="19"/>
  <c r="C208" i="1"/>
  <c r="H13" i="16"/>
  <c r="BK25" i="19"/>
  <c r="Q92" i="19"/>
  <c r="F42" i="16"/>
  <c r="AA20" i="2"/>
  <c r="AA21" i="2" s="1"/>
  <c r="K8" i="16"/>
  <c r="BM24" i="19"/>
  <c r="AC20" i="2"/>
  <c r="AC21" i="2" s="1"/>
  <c r="BM23" i="19"/>
  <c r="Q57" i="19"/>
  <c r="BM18" i="19"/>
  <c r="S20" i="2"/>
  <c r="K17" i="16"/>
  <c r="L24" i="16"/>
  <c r="P85" i="1"/>
  <c r="R49" i="19" s="1"/>
  <c r="N24" i="16"/>
  <c r="H72" i="20" s="1"/>
  <c r="C209" i="1"/>
  <c r="I43" i="16"/>
  <c r="P93" i="1"/>
  <c r="R57" i="19" s="1"/>
  <c r="F27" i="16"/>
  <c r="L27" i="16" s="1"/>
  <c r="Q79" i="19"/>
  <c r="P97" i="1"/>
  <c r="BM80" i="19"/>
  <c r="Q83" i="19"/>
  <c r="E209" i="1"/>
  <c r="D26" i="20" s="1"/>
  <c r="I13" i="16"/>
  <c r="G29" i="16"/>
  <c r="O182" i="1"/>
  <c r="E13" i="16"/>
  <c r="H16" i="16"/>
  <c r="N16" i="16" s="1"/>
  <c r="H51" i="20" s="1"/>
  <c r="P189" i="1"/>
  <c r="Q86" i="19"/>
  <c r="BK111" i="19"/>
  <c r="F13" i="16"/>
  <c r="Q47" i="19"/>
  <c r="P83" i="1"/>
  <c r="H8" i="16"/>
  <c r="S24" i="19"/>
  <c r="E20" i="2"/>
  <c r="E21" i="2" s="1"/>
  <c r="BK15" i="19"/>
  <c r="M48" i="1"/>
  <c r="C113" i="19"/>
  <c r="C45" i="16"/>
  <c r="P88" i="1"/>
  <c r="F18" i="16"/>
  <c r="L18" i="16" s="1"/>
  <c r="F44" i="16"/>
  <c r="Q112" i="19"/>
  <c r="Q197" i="1"/>
  <c r="AF20" i="2" s="1"/>
  <c r="K36" i="16"/>
  <c r="Q52" i="19"/>
  <c r="I36" i="16"/>
  <c r="P173" i="1"/>
  <c r="BK86" i="19"/>
  <c r="P106" i="1"/>
  <c r="Q87" i="19"/>
  <c r="F37" i="16"/>
  <c r="L37" i="16" s="1"/>
  <c r="D60" i="19"/>
  <c r="D26" i="16"/>
  <c r="BK115" i="19"/>
  <c r="BM112" i="19"/>
  <c r="N39" i="16"/>
  <c r="D105" i="20" s="1"/>
  <c r="H31" i="16"/>
  <c r="S82" i="19"/>
  <c r="H29" i="16"/>
  <c r="S81" i="19"/>
  <c r="M21" i="1"/>
  <c r="C50" i="19"/>
  <c r="C16" i="16"/>
  <c r="P167" i="1"/>
  <c r="BK81" i="19"/>
  <c r="I29" i="16"/>
  <c r="P159" i="1"/>
  <c r="BK55" i="19"/>
  <c r="I21" i="16"/>
  <c r="P186" i="1"/>
  <c r="L28" i="24" s="1"/>
  <c r="L30" i="24" s="1"/>
  <c r="BK17" i="19"/>
  <c r="K20" i="2"/>
  <c r="J12" i="16"/>
  <c r="BL28" i="19"/>
  <c r="P96" i="1"/>
  <c r="Q60" i="19"/>
  <c r="F26" i="16"/>
  <c r="L26" i="16" s="1"/>
  <c r="BM84" i="19"/>
  <c r="K33" i="16"/>
  <c r="H40" i="16"/>
  <c r="N40" i="16" s="1"/>
  <c r="H105" i="20" s="1"/>
  <c r="S90" i="19"/>
  <c r="BK49" i="19"/>
  <c r="P153" i="1"/>
  <c r="I15" i="16"/>
  <c r="K10" i="16"/>
  <c r="BM26" i="19"/>
  <c r="BK89" i="19"/>
  <c r="BM89" i="19"/>
  <c r="N19" i="16"/>
  <c r="D59" i="20" s="1"/>
  <c r="Q24" i="19"/>
  <c r="H18" i="16"/>
  <c r="N18" i="16" s="1"/>
  <c r="H55" i="20" s="1"/>
  <c r="S52" i="19"/>
  <c r="H15" i="16"/>
  <c r="S49" i="19"/>
  <c r="M35" i="1"/>
  <c r="D30" i="16" s="1"/>
  <c r="M30" i="16" s="1"/>
  <c r="C30" i="16"/>
  <c r="L30" i="16" s="1"/>
  <c r="S51" i="19"/>
  <c r="H17" i="16"/>
  <c r="K29" i="16"/>
  <c r="BM81" i="19"/>
  <c r="BM55" i="19"/>
  <c r="K21" i="16"/>
  <c r="M20" i="2"/>
  <c r="BM17" i="19"/>
  <c r="BK27" i="19"/>
  <c r="I11" i="16"/>
  <c r="P149" i="1"/>
  <c r="S88" i="19"/>
  <c r="H38" i="16"/>
  <c r="F16" i="16"/>
  <c r="P86" i="1"/>
  <c r="Q50" i="19"/>
  <c r="P176" i="1"/>
  <c r="J39" i="16" s="1"/>
  <c r="P194" i="1"/>
  <c r="BL115" i="19" s="1"/>
  <c r="D22" i="20"/>
  <c r="D19" i="16"/>
  <c r="F8" i="16"/>
  <c r="F31" i="16"/>
  <c r="Q82" i="19"/>
  <c r="P101" i="1"/>
  <c r="S86" i="19"/>
  <c r="H36" i="16"/>
  <c r="I25" i="16"/>
  <c r="BK59" i="19"/>
  <c r="P163" i="1"/>
  <c r="F38" i="16"/>
  <c r="P107" i="1"/>
  <c r="Q88" i="19"/>
  <c r="BL111" i="19"/>
  <c r="J43" i="16"/>
  <c r="I23" i="16"/>
  <c r="BK57" i="19"/>
  <c r="BM27" i="19"/>
  <c r="K11" i="16"/>
  <c r="I38" i="16"/>
  <c r="P175" i="1"/>
  <c r="BK88" i="19"/>
  <c r="K23" i="16"/>
  <c r="L19" i="16"/>
  <c r="P161" i="1"/>
  <c r="S60" i="19"/>
  <c r="H26" i="16"/>
  <c r="N26" i="16" s="1"/>
  <c r="H76" i="20" s="1"/>
  <c r="BM59" i="19"/>
  <c r="K25" i="16"/>
  <c r="N25" i="16" s="1"/>
  <c r="D76" i="20" s="1"/>
  <c r="O114" i="1"/>
  <c r="I8" i="16"/>
  <c r="BK24" i="19"/>
  <c r="P146" i="1"/>
  <c r="Q20" i="2"/>
  <c r="BK18" i="19"/>
  <c r="BK84" i="19"/>
  <c r="I33" i="16"/>
  <c r="P171" i="1"/>
  <c r="P109" i="1"/>
  <c r="Q90" i="19"/>
  <c r="F40" i="16"/>
  <c r="L40" i="16" s="1"/>
  <c r="I31" i="16"/>
  <c r="P169" i="1"/>
  <c r="BK82" i="19"/>
  <c r="BK26" i="19"/>
  <c r="I10" i="16"/>
  <c r="P148" i="1"/>
  <c r="BL79" i="19"/>
  <c r="J27" i="16"/>
  <c r="G33" i="16"/>
  <c r="R84" i="19"/>
  <c r="M15" i="1"/>
  <c r="C10" i="16"/>
  <c r="C26" i="19"/>
  <c r="M37" i="1"/>
  <c r="C32" i="16"/>
  <c r="L32" i="16" s="1"/>
  <c r="C83" i="19"/>
  <c r="E28" i="16"/>
  <c r="N28" i="16" s="1"/>
  <c r="H80" i="20" s="1"/>
  <c r="E80" i="19"/>
  <c r="F7" i="2"/>
  <c r="D15" i="19"/>
  <c r="C56" i="19"/>
  <c r="C22" i="16"/>
  <c r="M27" i="1"/>
  <c r="Q7" i="2"/>
  <c r="C18" i="19"/>
  <c r="M55" i="1"/>
  <c r="E24" i="19"/>
  <c r="E8" i="16"/>
  <c r="J10" i="2"/>
  <c r="S16" i="19"/>
  <c r="M58" i="1"/>
  <c r="D114" i="19" s="1"/>
  <c r="C114" i="19"/>
  <c r="J7" i="2"/>
  <c r="J21" i="2" s="1"/>
  <c r="E16" i="19"/>
  <c r="M34" i="1"/>
  <c r="C81" i="19"/>
  <c r="C29" i="16"/>
  <c r="G10" i="2"/>
  <c r="S15" i="19"/>
  <c r="E9" i="16"/>
  <c r="N9" i="16" s="1"/>
  <c r="D39" i="20" s="1"/>
  <c r="E25" i="19"/>
  <c r="M12" i="1"/>
  <c r="C7" i="16"/>
  <c r="C23" i="19"/>
  <c r="C80" i="19"/>
  <c r="C28" i="16"/>
  <c r="M33" i="1"/>
  <c r="D87" i="19"/>
  <c r="D37" i="16"/>
  <c r="P127" i="1"/>
  <c r="R116" i="19" s="1"/>
  <c r="Q116" i="19"/>
  <c r="R25" i="19"/>
  <c r="G9" i="16"/>
  <c r="M57" i="1"/>
  <c r="C19" i="19"/>
  <c r="X7" i="2"/>
  <c r="C92" i="19"/>
  <c r="M45" i="1"/>
  <c r="C42" i="16"/>
  <c r="R85" i="19"/>
  <c r="G34" i="16"/>
  <c r="E44" i="16"/>
  <c r="N44" i="16" s="1"/>
  <c r="H113" i="20" s="1"/>
  <c r="E112" i="19"/>
  <c r="J62" i="1"/>
  <c r="S62" i="1" s="1"/>
  <c r="L62" i="1"/>
  <c r="E111" i="19"/>
  <c r="E43" i="16"/>
  <c r="E210" i="1"/>
  <c r="H26" i="20" s="1"/>
  <c r="G44" i="16"/>
  <c r="M30" i="1"/>
  <c r="C25" i="16"/>
  <c r="C59" i="19"/>
  <c r="J40" i="16"/>
  <c r="BL90" i="19"/>
  <c r="E22" i="16"/>
  <c r="N22" i="16" s="1"/>
  <c r="H63" i="20" s="1"/>
  <c r="E56" i="19"/>
  <c r="M16" i="1"/>
  <c r="C27" i="19"/>
  <c r="C11" i="16"/>
  <c r="M40" i="1"/>
  <c r="C86" i="19"/>
  <c r="C36" i="16"/>
  <c r="M28" i="1"/>
  <c r="C23" i="16"/>
  <c r="C57" i="19"/>
  <c r="P120" i="1"/>
  <c r="Q10" i="2"/>
  <c r="Q18" i="19"/>
  <c r="AH20" i="2"/>
  <c r="J24" i="16"/>
  <c r="BL58" i="19"/>
  <c r="O128" i="1"/>
  <c r="D79" i="19"/>
  <c r="D27" i="16"/>
  <c r="E82" i="19"/>
  <c r="E31" i="16"/>
  <c r="M14" i="1"/>
  <c r="C9" i="16"/>
  <c r="L9" i="16" s="1"/>
  <c r="C25" i="19"/>
  <c r="E23" i="19"/>
  <c r="E7" i="16"/>
  <c r="E34" i="16"/>
  <c r="N34" i="16" s="1"/>
  <c r="D92" i="20" s="1"/>
  <c r="E85" i="19"/>
  <c r="E38" i="16"/>
  <c r="E88" i="19"/>
  <c r="M10" i="2"/>
  <c r="S17" i="19"/>
  <c r="D52" i="19"/>
  <c r="D18" i="16"/>
  <c r="H7" i="16"/>
  <c r="S23" i="19"/>
  <c r="Z7" i="2"/>
  <c r="E19" i="19"/>
  <c r="E33" i="16"/>
  <c r="E84" i="19"/>
  <c r="E92" i="19"/>
  <c r="E42" i="16"/>
  <c r="N42" i="16" s="1"/>
  <c r="H109" i="20" s="1"/>
  <c r="N10" i="2"/>
  <c r="P119" i="1"/>
  <c r="Q20" i="19"/>
  <c r="M53" i="1"/>
  <c r="K7" i="2"/>
  <c r="C17" i="19"/>
  <c r="C51" i="19"/>
  <c r="C17" i="16"/>
  <c r="L17" i="16" s="1"/>
  <c r="M22" i="1"/>
  <c r="C48" i="19"/>
  <c r="M19" i="1"/>
  <c r="C14" i="16"/>
  <c r="C111" i="19"/>
  <c r="C43" i="16"/>
  <c r="M46" i="1"/>
  <c r="H7" i="2"/>
  <c r="M52" i="1"/>
  <c r="C16" i="19"/>
  <c r="E81" i="19"/>
  <c r="E29" i="16"/>
  <c r="Q15" i="19"/>
  <c r="E10" i="2"/>
  <c r="P116" i="1"/>
  <c r="M20" i="1"/>
  <c r="C49" i="19"/>
  <c r="C15" i="16"/>
  <c r="S19" i="19"/>
  <c r="Z10" i="2"/>
  <c r="E54" i="19"/>
  <c r="E20" i="16"/>
  <c r="N20" i="16" s="1"/>
  <c r="H59" i="20" s="1"/>
  <c r="E55" i="19"/>
  <c r="E21" i="16"/>
  <c r="J19" i="16"/>
  <c r="BL53" i="19"/>
  <c r="C44" i="16"/>
  <c r="C112" i="19"/>
  <c r="M47" i="1"/>
  <c r="J61" i="1"/>
  <c r="N61" i="1" s="1"/>
  <c r="L61" i="1"/>
  <c r="C47" i="19"/>
  <c r="C13" i="16"/>
  <c r="M18" i="1"/>
  <c r="E26" i="19"/>
  <c r="E10" i="16"/>
  <c r="E83" i="19"/>
  <c r="E32" i="16"/>
  <c r="N32" i="16" s="1"/>
  <c r="D88" i="20" s="1"/>
  <c r="R21" i="19"/>
  <c r="AB7" i="2"/>
  <c r="AB10" i="2"/>
  <c r="G8" i="16"/>
  <c r="R24" i="19"/>
  <c r="E15" i="16"/>
  <c r="E49" i="19"/>
  <c r="Q17" i="19"/>
  <c r="K10" i="2"/>
  <c r="P118" i="1"/>
  <c r="P77" i="1"/>
  <c r="F7" i="16"/>
  <c r="Q23" i="19"/>
  <c r="C84" i="19"/>
  <c r="C33" i="16"/>
  <c r="M38" i="1"/>
  <c r="Q114" i="19"/>
  <c r="R114" i="19"/>
  <c r="E18" i="19"/>
  <c r="S7" i="2"/>
  <c r="D89" i="19"/>
  <c r="D39" i="16"/>
  <c r="E11" i="16"/>
  <c r="E27" i="19"/>
  <c r="E86" i="19"/>
  <c r="E36" i="16"/>
  <c r="E57" i="19"/>
  <c r="E23" i="16"/>
  <c r="S18" i="19"/>
  <c r="S10" i="2"/>
  <c r="C116" i="19"/>
  <c r="M60" i="1"/>
  <c r="C210" i="1"/>
  <c r="J49" i="1"/>
  <c r="N49" i="1" s="1"/>
  <c r="L49" i="1"/>
  <c r="C34" i="16"/>
  <c r="C85" i="19"/>
  <c r="M39" i="1"/>
  <c r="C88" i="19"/>
  <c r="C38" i="16"/>
  <c r="M42" i="1"/>
  <c r="X10" i="2"/>
  <c r="P122" i="1"/>
  <c r="Q19" i="19"/>
  <c r="C31" i="16"/>
  <c r="M36" i="1"/>
  <c r="C82" i="19"/>
  <c r="M25" i="1"/>
  <c r="C54" i="19"/>
  <c r="C20" i="16"/>
  <c r="M56" i="1"/>
  <c r="D21" i="19" s="1"/>
  <c r="C21" i="19"/>
  <c r="C55" i="19"/>
  <c r="M26" i="1"/>
  <c r="C21" i="16"/>
  <c r="E20" i="19"/>
  <c r="P7" i="2"/>
  <c r="P21" i="2" s="1"/>
  <c r="N129" i="1"/>
  <c r="Q129" i="1" s="1"/>
  <c r="O129" i="1"/>
  <c r="M7" i="2"/>
  <c r="M21" i="2" s="1"/>
  <c r="E17" i="19"/>
  <c r="E51" i="19"/>
  <c r="E17" i="16"/>
  <c r="E48" i="19"/>
  <c r="E14" i="16"/>
  <c r="M13" i="1"/>
  <c r="C24" i="19"/>
  <c r="C8" i="16"/>
  <c r="Q16" i="19"/>
  <c r="H10" i="2"/>
  <c r="P117" i="1"/>
  <c r="R54" i="19"/>
  <c r="G20" i="16"/>
  <c r="G43" i="16"/>
  <c r="R92" i="19"/>
  <c r="R111" i="19"/>
  <c r="R53" i="19"/>
  <c r="G19" i="16"/>
  <c r="J28" i="16"/>
  <c r="BL80" i="19"/>
  <c r="J44" i="16"/>
  <c r="BL112" i="19"/>
  <c r="BL114" i="19"/>
  <c r="J42" i="16"/>
  <c r="BL92" i="19"/>
  <c r="BL56" i="19"/>
  <c r="BL85" i="19"/>
  <c r="J34" i="16"/>
  <c r="BL23" i="19"/>
  <c r="J7" i="16"/>
  <c r="J17" i="16"/>
  <c r="BL91" i="19"/>
  <c r="M41" i="16"/>
  <c r="C109" i="20" s="1"/>
  <c r="J37" i="16"/>
  <c r="BL87" i="19"/>
  <c r="I20" i="2"/>
  <c r="BL16" i="19"/>
  <c r="J8" i="2"/>
  <c r="I16" i="19"/>
  <c r="AJ8" i="23" l="1"/>
  <c r="AJ26" i="24"/>
  <c r="AL26" i="24"/>
  <c r="AL8" i="23"/>
  <c r="AF27" i="24"/>
  <c r="AF29" i="24" s="1"/>
  <c r="AF11" i="23"/>
  <c r="AF21" i="23" s="1"/>
  <c r="AD27" i="24"/>
  <c r="AD29" i="24" s="1"/>
  <c r="AD31" i="24" s="1"/>
  <c r="AD11" i="23"/>
  <c r="AD21" i="23" s="1"/>
  <c r="G30" i="24"/>
  <c r="G31" i="24"/>
  <c r="L11" i="23"/>
  <c r="L21" i="23" s="1"/>
  <c r="L27" i="24"/>
  <c r="L29" i="24" s="1"/>
  <c r="L31" i="24" s="1"/>
  <c r="AJ11" i="23"/>
  <c r="AJ21" i="23" s="1"/>
  <c r="AJ27" i="24"/>
  <c r="BL21" i="19"/>
  <c r="AB28" i="24"/>
  <c r="AB30" i="24" s="1"/>
  <c r="BL19" i="19"/>
  <c r="Y28" i="24"/>
  <c r="Y30" i="24" s="1"/>
  <c r="AL27" i="24"/>
  <c r="AL11" i="23"/>
  <c r="AL21" i="23" s="1"/>
  <c r="AC31" i="24"/>
  <c r="AC30" i="24"/>
  <c r="Y20" i="2"/>
  <c r="F27" i="24"/>
  <c r="F11" i="23"/>
  <c r="F21" i="23" s="1"/>
  <c r="J29" i="24"/>
  <c r="AL20" i="2"/>
  <c r="AL28" i="24"/>
  <c r="AB21" i="23"/>
  <c r="H29" i="24"/>
  <c r="H31" i="24" s="1"/>
  <c r="S31" i="24"/>
  <c r="S30" i="24"/>
  <c r="I27" i="24"/>
  <c r="I29" i="24" s="1"/>
  <c r="I31" i="24" s="1"/>
  <c r="I11" i="23"/>
  <c r="I21" i="23" s="1"/>
  <c r="Y27" i="24"/>
  <c r="Y29" i="24" s="1"/>
  <c r="Y31" i="24" s="1"/>
  <c r="Y11" i="23"/>
  <c r="Y21" i="23" s="1"/>
  <c r="R27" i="24"/>
  <c r="R29" i="24" s="1"/>
  <c r="R31" i="24" s="1"/>
  <c r="R11" i="23"/>
  <c r="R21" i="23" s="1"/>
  <c r="L22" i="16"/>
  <c r="AJ20" i="2"/>
  <c r="AJ28" i="24"/>
  <c r="Z29" i="24"/>
  <c r="X29" i="24"/>
  <c r="X31" i="24" s="1"/>
  <c r="M30" i="24"/>
  <c r="M31" i="24"/>
  <c r="H21" i="2"/>
  <c r="AH21" i="2"/>
  <c r="Z21" i="2"/>
  <c r="X21" i="2"/>
  <c r="Q21" i="2"/>
  <c r="S21" i="2"/>
  <c r="K21" i="2"/>
  <c r="F20" i="2"/>
  <c r="F28" i="24"/>
  <c r="AL7" i="2"/>
  <c r="AL21" i="2" s="1"/>
  <c r="BL89" i="19"/>
  <c r="N14" i="16"/>
  <c r="H47" i="20" s="1"/>
  <c r="E117" i="19"/>
  <c r="S61" i="1"/>
  <c r="N43" i="16"/>
  <c r="D113" i="20" s="1"/>
  <c r="AL10" i="2"/>
  <c r="S114" i="1"/>
  <c r="N45" i="16"/>
  <c r="D117" i="20" s="1"/>
  <c r="M24" i="16"/>
  <c r="G72" i="20" s="1"/>
  <c r="D10" i="20"/>
  <c r="G36" i="16"/>
  <c r="R113" i="19"/>
  <c r="L28" i="16"/>
  <c r="R83" i="19"/>
  <c r="L34" i="16"/>
  <c r="L45" i="16"/>
  <c r="J45" i="16"/>
  <c r="BL83" i="19"/>
  <c r="L20" i="16"/>
  <c r="BL25" i="19"/>
  <c r="G39" i="16"/>
  <c r="M39" i="16" s="1"/>
  <c r="C105" i="20" s="1"/>
  <c r="R89" i="19"/>
  <c r="G12" i="16"/>
  <c r="M12" i="16" s="1"/>
  <c r="G43" i="20" s="1"/>
  <c r="BL50" i="19"/>
  <c r="N37" i="16"/>
  <c r="D96" i="20" s="1"/>
  <c r="O7" i="2"/>
  <c r="G28" i="16"/>
  <c r="L14" i="16"/>
  <c r="R51" i="19"/>
  <c r="R26" i="19"/>
  <c r="G10" i="16"/>
  <c r="BL47" i="19"/>
  <c r="BL54" i="19"/>
  <c r="L42" i="16"/>
  <c r="G23" i="16"/>
  <c r="AD20" i="2"/>
  <c r="BK22" i="19"/>
  <c r="N13" i="16"/>
  <c r="D47" i="20" s="1"/>
  <c r="D209" i="1"/>
  <c r="C26" i="20" s="1"/>
  <c r="BM22" i="19"/>
  <c r="L43" i="16"/>
  <c r="N33" i="16"/>
  <c r="H88" i="20" s="1"/>
  <c r="P182" i="1"/>
  <c r="L44" i="16"/>
  <c r="AB20" i="2"/>
  <c r="AB21" i="2" s="1"/>
  <c r="L13" i="16"/>
  <c r="L15" i="16"/>
  <c r="G15" i="16"/>
  <c r="R79" i="19"/>
  <c r="G27" i="16"/>
  <c r="M27" i="16" s="1"/>
  <c r="C80" i="20" s="1"/>
  <c r="N36" i="16"/>
  <c r="H92" i="20" s="1"/>
  <c r="N31" i="16"/>
  <c r="H84" i="20" s="1"/>
  <c r="L36" i="16"/>
  <c r="N8" i="16"/>
  <c r="H30" i="20" s="1"/>
  <c r="BL86" i="19"/>
  <c r="J36" i="16"/>
  <c r="D113" i="19"/>
  <c r="D45" i="16"/>
  <c r="R52" i="19"/>
  <c r="G18" i="16"/>
  <c r="M18" i="16" s="1"/>
  <c r="G55" i="20" s="1"/>
  <c r="N21" i="16"/>
  <c r="D63" i="20" s="1"/>
  <c r="G37" i="16"/>
  <c r="M37" i="16" s="1"/>
  <c r="C96" i="20" s="1"/>
  <c r="R87" i="19"/>
  <c r="G13" i="16"/>
  <c r="R47" i="19"/>
  <c r="M19" i="16"/>
  <c r="C59" i="20" s="1"/>
  <c r="L7" i="16"/>
  <c r="L29" i="16"/>
  <c r="N17" i="16"/>
  <c r="D55" i="20" s="1"/>
  <c r="L21" i="16"/>
  <c r="N11" i="16"/>
  <c r="D43" i="20" s="1"/>
  <c r="N7" i="16"/>
  <c r="D30" i="20" s="1"/>
  <c r="L11" i="16"/>
  <c r="L16" i="16"/>
  <c r="L23" i="16"/>
  <c r="J33" i="16"/>
  <c r="BL84" i="19"/>
  <c r="P114" i="1"/>
  <c r="AJ10" i="2"/>
  <c r="G38" i="16"/>
  <c r="R88" i="19"/>
  <c r="J15" i="16"/>
  <c r="BL49" i="19"/>
  <c r="R60" i="19"/>
  <c r="G26" i="16"/>
  <c r="M26" i="16" s="1"/>
  <c r="G76" i="20" s="1"/>
  <c r="J21" i="16"/>
  <c r="BL55" i="19"/>
  <c r="L25" i="16"/>
  <c r="E211" i="1"/>
  <c r="H22" i="20" s="1"/>
  <c r="L10" i="16"/>
  <c r="J8" i="16"/>
  <c r="BL24" i="19"/>
  <c r="BK117" i="19"/>
  <c r="P196" i="1"/>
  <c r="BL117" i="19" s="1"/>
  <c r="BL17" i="19"/>
  <c r="L20" i="2"/>
  <c r="L31" i="16"/>
  <c r="L33" i="16"/>
  <c r="N29" i="16"/>
  <c r="D84" i="20" s="1"/>
  <c r="D6" i="20"/>
  <c r="N38" i="16"/>
  <c r="H96" i="20" s="1"/>
  <c r="BL57" i="19"/>
  <c r="J23" i="16"/>
  <c r="J25" i="16"/>
  <c r="BL59" i="19"/>
  <c r="G16" i="16"/>
  <c r="R50" i="19"/>
  <c r="J11" i="16"/>
  <c r="BL27" i="19"/>
  <c r="D50" i="19"/>
  <c r="D16" i="16"/>
  <c r="L8" i="16"/>
  <c r="L38" i="16"/>
  <c r="N23" i="16"/>
  <c r="D72" i="20" s="1"/>
  <c r="N15" i="16"/>
  <c r="D51" i="20" s="1"/>
  <c r="N10" i="16"/>
  <c r="H39" i="20" s="1"/>
  <c r="J10" i="16"/>
  <c r="BL26" i="19"/>
  <c r="BL82" i="19"/>
  <c r="J31" i="16"/>
  <c r="G40" i="16"/>
  <c r="M40" i="16" s="1"/>
  <c r="G105" i="20" s="1"/>
  <c r="R90" i="19"/>
  <c r="J38" i="16"/>
  <c r="BL88" i="19"/>
  <c r="R82" i="19"/>
  <c r="G31" i="16"/>
  <c r="J29" i="16"/>
  <c r="BL81" i="19"/>
  <c r="I10" i="2"/>
  <c r="R16" i="19"/>
  <c r="AD10" i="2"/>
  <c r="P129" i="1"/>
  <c r="Q22" i="19"/>
  <c r="R19" i="19"/>
  <c r="Y10" i="2"/>
  <c r="AJ7" i="2"/>
  <c r="M49" i="1"/>
  <c r="L10" i="2"/>
  <c r="R17" i="19"/>
  <c r="D112" i="19"/>
  <c r="D44" i="16"/>
  <c r="M44" i="16" s="1"/>
  <c r="G113" i="20" s="1"/>
  <c r="R10" i="2"/>
  <c r="R18" i="19"/>
  <c r="Y7" i="2"/>
  <c r="D19" i="19"/>
  <c r="D18" i="19"/>
  <c r="R7" i="2"/>
  <c r="R21" i="2" s="1"/>
  <c r="D32" i="16"/>
  <c r="M32" i="16" s="1"/>
  <c r="C88" i="20" s="1"/>
  <c r="D83" i="19"/>
  <c r="D18" i="20"/>
  <c r="S22" i="19"/>
  <c r="AF10" i="2"/>
  <c r="D82" i="19"/>
  <c r="D31" i="16"/>
  <c r="D85" i="19"/>
  <c r="D34" i="16"/>
  <c r="M34" i="16" s="1"/>
  <c r="C92" i="20" s="1"/>
  <c r="H14" i="20"/>
  <c r="D88" i="19"/>
  <c r="D38" i="16"/>
  <c r="D84" i="19"/>
  <c r="D33" i="16"/>
  <c r="D47" i="19"/>
  <c r="D13" i="16"/>
  <c r="C211" i="1"/>
  <c r="C117" i="19"/>
  <c r="M61" i="1"/>
  <c r="R15" i="19"/>
  <c r="F10" i="2"/>
  <c r="D111" i="19"/>
  <c r="D43" i="16"/>
  <c r="M43" i="16" s="1"/>
  <c r="C113" i="20" s="1"/>
  <c r="D48" i="19"/>
  <c r="D14" i="16"/>
  <c r="M14" i="16" s="1"/>
  <c r="G47" i="20" s="1"/>
  <c r="P128" i="1"/>
  <c r="R117" i="19" s="1"/>
  <c r="Q117" i="19"/>
  <c r="D36" i="16"/>
  <c r="D86" i="19"/>
  <c r="E22" i="19"/>
  <c r="AF7" i="2"/>
  <c r="I7" i="2"/>
  <c r="D16" i="19"/>
  <c r="D17" i="16"/>
  <c r="M17" i="16" s="1"/>
  <c r="C55" i="20" s="1"/>
  <c r="D51" i="19"/>
  <c r="D59" i="19"/>
  <c r="D25" i="16"/>
  <c r="D42" i="16"/>
  <c r="M42" i="16" s="1"/>
  <c r="G109" i="20" s="1"/>
  <c r="D92" i="19"/>
  <c r="D7" i="16"/>
  <c r="D23" i="19"/>
  <c r="C212" i="1"/>
  <c r="D208" i="1"/>
  <c r="C22" i="20" s="1"/>
  <c r="D24" i="19"/>
  <c r="D8" i="16"/>
  <c r="D55" i="19"/>
  <c r="D21" i="16"/>
  <c r="D49" i="19"/>
  <c r="D15" i="16"/>
  <c r="L7" i="2"/>
  <c r="D17" i="19"/>
  <c r="D27" i="19"/>
  <c r="D11" i="16"/>
  <c r="AD7" i="2"/>
  <c r="M62" i="1"/>
  <c r="C22" i="19"/>
  <c r="D20" i="16"/>
  <c r="M20" i="16" s="1"/>
  <c r="G59" i="20" s="1"/>
  <c r="D54" i="19"/>
  <c r="D116" i="19"/>
  <c r="D210" i="1"/>
  <c r="G26" i="20" s="1"/>
  <c r="R23" i="19"/>
  <c r="G7" i="16"/>
  <c r="O10" i="2"/>
  <c r="R20" i="19"/>
  <c r="D25" i="19"/>
  <c r="D9" i="16"/>
  <c r="M9" i="16" s="1"/>
  <c r="C39" i="20" s="1"/>
  <c r="D57" i="19"/>
  <c r="D23" i="16"/>
  <c r="D80" i="19"/>
  <c r="D28" i="16"/>
  <c r="D29" i="16"/>
  <c r="D81" i="19"/>
  <c r="D56" i="19"/>
  <c r="D22" i="16"/>
  <c r="M22" i="16" s="1"/>
  <c r="G63" i="20" s="1"/>
  <c r="D10" i="16"/>
  <c r="D26" i="19"/>
  <c r="AE20" i="2"/>
  <c r="BL22" i="19"/>
  <c r="AK7" i="2" l="1"/>
  <c r="AK26" i="24"/>
  <c r="AK8" i="23"/>
  <c r="AF30" i="24"/>
  <c r="AF31" i="24"/>
  <c r="AE27" i="24"/>
  <c r="AE29" i="24" s="1"/>
  <c r="AE31" i="24" s="1"/>
  <c r="AE11" i="23"/>
  <c r="AE21" i="23" s="1"/>
  <c r="AK10" i="2"/>
  <c r="AK27" i="24"/>
  <c r="AK11" i="23"/>
  <c r="Z30" i="24"/>
  <c r="Z31" i="24"/>
  <c r="AL29" i="24"/>
  <c r="AD21" i="2"/>
  <c r="F21" i="2"/>
  <c r="AB29" i="24"/>
  <c r="AB31" i="24" s="1"/>
  <c r="J30" i="24"/>
  <c r="J31" i="24"/>
  <c r="AJ29" i="24"/>
  <c r="AJ31" i="24" s="1"/>
  <c r="AK20" i="2"/>
  <c r="AK28" i="24"/>
  <c r="AK30" i="24" s="1"/>
  <c r="L21" i="2"/>
  <c r="Y21" i="2"/>
  <c r="C6" i="20" s="1"/>
  <c r="AJ21" i="2"/>
  <c r="I21" i="2"/>
  <c r="AF21" i="2"/>
  <c r="H18" i="20" s="1"/>
  <c r="O21" i="2"/>
  <c r="F29" i="24"/>
  <c r="F31" i="24" s="1"/>
  <c r="F30" i="24"/>
  <c r="M45" i="16"/>
  <c r="C117" i="20" s="1"/>
  <c r="D14" i="20"/>
  <c r="M28" i="16"/>
  <c r="G80" i="20" s="1"/>
  <c r="D212" i="1"/>
  <c r="M36" i="16"/>
  <c r="G92" i="20" s="1"/>
  <c r="M23" i="16"/>
  <c r="C72" i="20" s="1"/>
  <c r="M8" i="16"/>
  <c r="G30" i="20" s="1"/>
  <c r="M33" i="16"/>
  <c r="G88" i="20" s="1"/>
  <c r="M13" i="16"/>
  <c r="C47" i="20" s="1"/>
  <c r="M10" i="16"/>
  <c r="G39" i="20" s="1"/>
  <c r="M16" i="16"/>
  <c r="G51" i="20" s="1"/>
  <c r="M11" i="16"/>
  <c r="C43" i="20" s="1"/>
  <c r="M15" i="16"/>
  <c r="C51" i="20" s="1"/>
  <c r="M25" i="16"/>
  <c r="C76" i="20" s="1"/>
  <c r="M7" i="16"/>
  <c r="C30" i="20" s="1"/>
  <c r="M38" i="16"/>
  <c r="G96" i="20" s="1"/>
  <c r="M29" i="16"/>
  <c r="C84" i="20" s="1"/>
  <c r="M31" i="16"/>
  <c r="G84" i="20" s="1"/>
  <c r="M21" i="16"/>
  <c r="C63" i="20" s="1"/>
  <c r="G6" i="20"/>
  <c r="D117" i="19"/>
  <c r="D211" i="1"/>
  <c r="G22" i="20" s="1"/>
  <c r="AE10" i="2"/>
  <c r="R22" i="19"/>
  <c r="D22" i="19"/>
  <c r="AE7" i="2"/>
  <c r="H6" i="20"/>
  <c r="C10" i="20"/>
  <c r="C18" i="20"/>
  <c r="H10" i="20"/>
  <c r="AK21" i="2" l="1"/>
  <c r="AK21" i="23"/>
  <c r="AE21" i="2"/>
  <c r="AL30" i="24"/>
  <c r="AL31" i="24"/>
  <c r="AK29" i="24"/>
  <c r="AK31" i="24" s="1"/>
  <c r="G14" i="20"/>
  <c r="G10" i="20"/>
  <c r="C14" i="20"/>
  <c r="G18" i="20" l="1"/>
</calcChain>
</file>

<file path=xl/comments1.xml><?xml version="1.0" encoding="utf-8"?>
<comments xmlns="http://schemas.openxmlformats.org/spreadsheetml/2006/main">
  <authors>
    <author>Cordes, Richard</author>
  </authors>
  <commentList>
    <comment ref="B28" authorId="0">
      <text>
        <r>
          <rPr>
            <b/>
            <sz val="9"/>
            <color indexed="81"/>
            <rFont val="Tahoma"/>
            <charset val="1"/>
          </rPr>
          <t>Cordes, Richard:</t>
        </r>
        <r>
          <rPr>
            <sz val="9"/>
            <color indexed="81"/>
            <rFont val="Tahoma"/>
            <charset val="1"/>
          </rPr>
          <t xml:space="preserve">
Previous versions of the spreadsheet included CE026, which referred to EU023's low-NOx burners. Low-NOx burners provide intrinsic control, not add-on control; no CE is needed.</t>
        </r>
      </text>
    </comment>
    <comment ref="U28" authorId="0">
      <text>
        <r>
          <rPr>
            <b/>
            <sz val="9"/>
            <color indexed="81"/>
            <rFont val="Tahoma"/>
            <charset val="1"/>
          </rPr>
          <t>Cordes, Richard:</t>
        </r>
        <r>
          <rPr>
            <sz val="9"/>
            <color indexed="81"/>
            <rFont val="Tahoma"/>
            <charset val="1"/>
          </rPr>
          <t xml:space="preserve">
Previous versions of the spreadsheet included CE026, which referred to EU023's low-NOx burners. Low-NOx burners provide intrinsic control, not add-on control; no CE is needed.</t>
        </r>
      </text>
    </comment>
  </commentList>
</comments>
</file>

<file path=xl/comments2.xml><?xml version="1.0" encoding="utf-8"?>
<comments xmlns="http://schemas.openxmlformats.org/spreadsheetml/2006/main">
  <authors>
    <author>Cordes, Richard</author>
  </authors>
  <commentList>
    <comment ref="B20" authorId="0">
      <text>
        <r>
          <rPr>
            <b/>
            <sz val="9"/>
            <color indexed="81"/>
            <rFont val="Tahoma"/>
            <charset val="1"/>
          </rPr>
          <t>Cordes, Richard:</t>
        </r>
        <r>
          <rPr>
            <sz val="9"/>
            <color indexed="81"/>
            <rFont val="Tahoma"/>
            <charset val="1"/>
          </rPr>
          <t xml:space="preserve">
Previous versions of the spreadsheet included CE026, which referred to EU023's low-NOx burners. Low-NOx burners provide intrinsic control, not add-on control; no CE is needed.</t>
        </r>
      </text>
    </comment>
    <comment ref="U20" authorId="0">
      <text>
        <r>
          <rPr>
            <b/>
            <sz val="9"/>
            <color indexed="81"/>
            <rFont val="Tahoma"/>
            <charset val="1"/>
          </rPr>
          <t>Cordes, Richard:</t>
        </r>
        <r>
          <rPr>
            <sz val="9"/>
            <color indexed="81"/>
            <rFont val="Tahoma"/>
            <charset val="1"/>
          </rPr>
          <t xml:space="preserve">
Previous versions of the spreadsheet included CE026, which referred to EU023's low-NOx burners. Low-NOx burners provide intrinsic control, not add-on control; no CE is needed.</t>
        </r>
      </text>
    </comment>
  </commentList>
</comments>
</file>

<file path=xl/comments3.xml><?xml version="1.0" encoding="utf-8"?>
<comments xmlns="http://schemas.openxmlformats.org/spreadsheetml/2006/main">
  <authors>
    <author>khillbrandt</author>
  </authors>
  <commentList>
    <comment ref="P188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Calculate unrestricted NOx assuming no low-NOx burner.</t>
        </r>
      </text>
    </comment>
  </commentList>
</comments>
</file>

<file path=xl/comments4.xml><?xml version="1.0" encoding="utf-8"?>
<comments xmlns="http://schemas.openxmlformats.org/spreadsheetml/2006/main">
  <authors>
    <author>khillbrandt</author>
  </authors>
  <commentList>
    <comment ref="C402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MPCA PTE did not include #2 fuel oil HAPs, only criteria pollutants
</t>
        </r>
      </text>
    </comment>
    <comment ref="K458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Was 38 in original document from GP.</t>
        </r>
      </text>
    </comment>
    <comment ref="C476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MPCA PTE does not include #2 fuel oil emission factors
</t>
        </r>
      </text>
    </comment>
    <comment ref="F476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MPCA PTE does not include used oil emission factors
</t>
        </r>
      </text>
    </comment>
    <comment ref="M529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M530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Permit limit</t>
        </r>
      </text>
    </comment>
    <comment ref="F536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Used Oil GHG EFs are for No. 6 oil, which are higher than No. 2 (distillate oil) EFs</t>
        </r>
      </text>
    </comment>
  </commentList>
</comments>
</file>

<file path=xl/comments5.xml><?xml version="1.0" encoding="utf-8"?>
<comments xmlns="http://schemas.openxmlformats.org/spreadsheetml/2006/main">
  <authors>
    <author>khillbrandt</author>
  </authors>
  <commentList>
    <comment ref="G11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Updated VOC emissions from EU020 assuming venturi scrubber does not provide VOC control. Previously was calculated to have 90% VOC control.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khillbrandt:</t>
        </r>
        <r>
          <rPr>
            <sz val="9"/>
            <color indexed="81"/>
            <rFont val="Tahoma"/>
            <family val="2"/>
          </rPr>
          <t xml:space="preserve">
Updated VOC emissions from EU021 assuming venturi scrubber does not provide VOC control. Previously was calculated to have 90% VOC control.</t>
        </r>
      </text>
    </comment>
  </commentList>
</comments>
</file>

<file path=xl/sharedStrings.xml><?xml version="1.0" encoding="utf-8"?>
<sst xmlns="http://schemas.openxmlformats.org/spreadsheetml/2006/main" count="6344" uniqueCount="674">
  <si>
    <t>Total</t>
  </si>
  <si>
    <t>EU006</t>
  </si>
  <si>
    <t>EU002</t>
  </si>
  <si>
    <t>-</t>
  </si>
  <si>
    <t>(tons/yr)</t>
  </si>
  <si>
    <t>(lb/hr)</t>
  </si>
  <si>
    <t>VOC</t>
  </si>
  <si>
    <r>
      <t>PM</t>
    </r>
    <r>
      <rPr>
        <b/>
        <vertAlign val="subscript"/>
        <sz val="10"/>
        <rFont val="Arial"/>
        <family val="2"/>
      </rPr>
      <t>2.5</t>
    </r>
  </si>
  <si>
    <r>
      <t>PM</t>
    </r>
    <r>
      <rPr>
        <b/>
        <vertAlign val="subscript"/>
        <sz val="10"/>
        <rFont val="Arial"/>
        <family val="2"/>
      </rPr>
      <t>10</t>
    </r>
  </si>
  <si>
    <t>PM</t>
  </si>
  <si>
    <t>Pollutant</t>
  </si>
  <si>
    <t>Sanimax</t>
  </si>
  <si>
    <t>(lbs/hr)</t>
  </si>
  <si>
    <t>Limited Potential</t>
  </si>
  <si>
    <t>Maximum Unlimited</t>
  </si>
  <si>
    <t>Process Emission     Rate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</si>
  <si>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30203801 (Animal/Poultry Rendering - General:Uncontolled)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</si>
  <si>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30203801 (Animal/Poultry Rendering - General:Uncontolled)</t>
    </r>
  </si>
  <si>
    <r>
      <t>[1]</t>
    </r>
    <r>
      <rPr>
        <sz val="9"/>
        <rFont val="Arial"/>
        <family val="2"/>
      </rPr>
      <t>PM filterable emission factors taken from AP-42 Table 9.9.1-2 for "Hammermill - Cyclone Control" and assumes 80% cyclone control efficiency = 0.067/(1-0.8)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</si>
  <si>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vertAlign val="superscript"/>
        <sz val="10"/>
        <rFont val="Arial"/>
        <family val="2"/>
      </rPr>
      <t>[3]</t>
    </r>
  </si>
  <si>
    <r>
      <t>PM</t>
    </r>
    <r>
      <rPr>
        <b/>
        <vertAlign val="subscript"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[2]</t>
    </r>
  </si>
  <si>
    <r>
      <t>PM</t>
    </r>
    <r>
      <rPr>
        <b/>
        <vertAlign val="superscript"/>
        <sz val="10"/>
        <rFont val="Arial"/>
        <family val="2"/>
      </rPr>
      <t>[1]</t>
    </r>
  </si>
  <si>
    <t>(%)</t>
  </si>
  <si>
    <t>Condensable</t>
  </si>
  <si>
    <t>Filterable</t>
  </si>
  <si>
    <t>Controlled Emission Rates</t>
  </si>
  <si>
    <t>Uncontrolled Emission Rate</t>
  </si>
  <si>
    <t>Process Capacity</t>
  </si>
  <si>
    <t>Emission Factors (lb/ton)</t>
  </si>
  <si>
    <r>
      <t>[4]</t>
    </r>
    <r>
      <rPr>
        <sz val="9"/>
        <rFont val="Arial"/>
        <family val="2"/>
      </rPr>
      <t xml:space="preserve">VOC emission factor taken from AP-42 Table 9.13.3-3 for "Continuous Deep Fat Fryer - Other Snack Chips" </t>
    </r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</si>
  <si>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30203801 (Animal/Poultry Rendering - General:Uncontolled).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</si>
  <si>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30203801 (Animal/Poultry Rendering - General:Uncontolled).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</t>
    </r>
  </si>
  <si>
    <r>
      <t>[1]</t>
    </r>
    <r>
      <rPr>
        <sz val="9"/>
        <rFont val="Arial"/>
        <family val="2"/>
      </rPr>
      <t xml:space="preserve">PM filterable and condensable emission factors taken from AP-42 Table 9.13.3-2 for "Continuous Deep Fat Fryer - Other Snack Chips" </t>
    </r>
  </si>
  <si>
    <r>
      <t>VOC</t>
    </r>
    <r>
      <rPr>
        <b/>
        <vertAlign val="superscript"/>
        <sz val="10"/>
        <rFont val="Arial"/>
        <family val="2"/>
      </rPr>
      <t>[4]</t>
    </r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</si>
  <si>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</si>
  <si>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</t>
    </r>
  </si>
  <si>
    <t>(lb/1,000 gal)</t>
  </si>
  <si>
    <t>Emission Factor</t>
  </si>
  <si>
    <t>percent</t>
  </si>
  <si>
    <t>Sulfur Content:</t>
  </si>
  <si>
    <t>mmBTu/hr</t>
  </si>
  <si>
    <t>Rated Heat Input:</t>
  </si>
  <si>
    <t>Btu/gal</t>
  </si>
  <si>
    <t>Fuel Heat Value:</t>
  </si>
  <si>
    <t>Btu/lb</t>
  </si>
  <si>
    <t>Average Heating Value of Fuel:</t>
  </si>
  <si>
    <t>lb/gallon</t>
  </si>
  <si>
    <t>Average Density of Fuel:</t>
  </si>
  <si>
    <t>gallons/hr</t>
  </si>
  <si>
    <t>Rated Fuel Consumption:</t>
  </si>
  <si>
    <t>Emission factors taken from AP-42 Table 1.2-2</t>
  </si>
  <si>
    <t>(lb/mmscf)</t>
  </si>
  <si>
    <t>MMBtu/hr</t>
  </si>
  <si>
    <t>Btu/cf</t>
  </si>
  <si>
    <t>cf/hr</t>
  </si>
  <si>
    <t>Combustion Emissions: Fuel Type - Natural Gas</t>
  </si>
  <si>
    <r>
      <t>PM, PM</t>
    </r>
    <r>
      <rPr>
        <b/>
        <vertAlign val="subscript"/>
        <sz val="12"/>
        <rFont val="Arial"/>
        <family val="2"/>
      </rPr>
      <t>10</t>
    </r>
    <r>
      <rPr>
        <b/>
        <sz val="12"/>
        <rFont val="Arial"/>
        <family val="2"/>
      </rPr>
      <t xml:space="preserve"> and PM</t>
    </r>
    <r>
      <rPr>
        <b/>
        <vertAlign val="subscript"/>
        <sz val="12"/>
        <rFont val="Arial"/>
        <family val="2"/>
      </rPr>
      <t>2.5</t>
    </r>
    <r>
      <rPr>
        <b/>
        <sz val="12"/>
        <rFont val="Arial"/>
        <family val="2"/>
      </rPr>
      <t xml:space="preserve"> Emissions Calculations</t>
    </r>
  </si>
  <si>
    <t>Total Blood Ring Dryer Emissions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</si>
  <si>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from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>/PM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ration of 30/85, taken from EPA PM calculator based on SCC code 30203801 (Animal/Poultry Rendering - General:Uncontolled).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factor.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</si>
  <si>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taken from AP-42 Table 9.5.3-2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</t>
    </r>
  </si>
  <si>
    <r>
      <t>[1]</t>
    </r>
    <r>
      <rPr>
        <sz val="9"/>
        <rFont val="Arial"/>
        <family val="2"/>
      </rPr>
      <t>PM filterable emission factor is calculated from PM/PM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ratio of 100/85 as no AP-42 factor is available.  PM condensable is taken from AP-42 Table 9.5.3-2</t>
    </r>
  </si>
  <si>
    <t>Process Emissions: Blood Drying</t>
  </si>
  <si>
    <t xml:space="preserve">Emission factors taken from AP-42 Table 1.3-6 </t>
  </si>
  <si>
    <t>Emission     Rate</t>
  </si>
  <si>
    <t>Combustion Emissions: Fuel Type - Distillate Fuel Oil (No. 2 distillate fuel oil)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</si>
  <si>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30203801 (Animal/Poultry Rendering - General:Uncontolled).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</si>
  <si>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30203801 (Animal/Poultry Rendering - General:Uncontolled).</t>
    </r>
  </si>
  <si>
    <t>Milling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</si>
  <si>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emissions factor is calculated as 100% of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as no AP-42 emission factor is available. 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</si>
  <si>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emission factor taken from AP-42 Table 11.12-2 "Pneumatic Unloading of Cement to Elevated Storage Silo"</t>
    </r>
  </si>
  <si>
    <r>
      <t>[1]</t>
    </r>
    <r>
      <rPr>
        <sz val="9"/>
        <rFont val="Arial"/>
        <family val="2"/>
      </rPr>
      <t>PM emission factor taken from AP-42 Table 11.12-2 "Pneumatic Unloading of Cement to Elevated Storage Silo"</t>
    </r>
  </si>
  <si>
    <t>Conveying</t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</si>
  <si>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filterable is calculated as 30%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condensable is 100% of PM condensable emission factor.</t>
    </r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</si>
  <si>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filterable is calculated as 85% of PM filterable, taken from EPA PM calculator based on SCC code 30203803 (Animal/Poultry Rendering - Cooking:Uncontolled). 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condensable is 100% of PM condensable emission factor.</t>
    </r>
  </si>
  <si>
    <t>Cooking</t>
  </si>
  <si>
    <r>
      <t>[2]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and PM</t>
    </r>
    <r>
      <rPr>
        <vertAlign val="subscript"/>
        <sz val="9"/>
        <rFont val="Arial"/>
        <family val="2"/>
      </rPr>
      <t>2.</t>
    </r>
    <r>
      <rPr>
        <sz val="9"/>
        <rFont val="Arial"/>
        <family val="2"/>
      </rPr>
      <t>5 emission factors assumed 100% of PM emission factor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</si>
  <si>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vertAlign val="superscript"/>
        <sz val="10"/>
        <rFont val="Arial"/>
        <family val="2"/>
      </rPr>
      <t>[2]</t>
    </r>
  </si>
  <si>
    <t>Drying</t>
  </si>
  <si>
    <r>
      <t>[4]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2.5</t>
    </r>
    <r>
      <rPr>
        <sz val="9"/>
        <rFont val="Arial"/>
        <family val="2"/>
      </rPr>
      <t xml:space="preserve"> emissions factor is calculated as 100% of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as no AP-42 emission factor is available. </t>
    </r>
  </si>
  <si>
    <r>
      <t>[3]</t>
    </r>
    <r>
      <rPr>
        <sz val="9"/>
        <rFont val="Arial"/>
        <family val="2"/>
      </rPr>
      <t xml:space="preserve"> PM</t>
    </r>
    <r>
      <rPr>
        <vertAlign val="subscript"/>
        <sz val="9"/>
        <rFont val="Arial"/>
        <family val="2"/>
      </rPr>
      <t>10</t>
    </r>
    <r>
      <rPr>
        <sz val="9"/>
        <rFont val="Arial"/>
        <family val="2"/>
      </rPr>
      <t xml:space="preserve"> emission factor taken from AP-42 Table 11.12-2 "Pneumatic Unloading of Cement to Elevated Storage Silo"</t>
    </r>
  </si>
  <si>
    <r>
      <t xml:space="preserve">[2] </t>
    </r>
    <r>
      <rPr>
        <sz val="9"/>
        <rFont val="Arial"/>
        <family val="2"/>
      </rPr>
      <t>PM emission factor taken from AP-42 Table 11.12-2 "Pneumatic Unloading of Cement to Elevated Storage Silo"</t>
    </r>
  </si>
  <si>
    <r>
      <t>[1]</t>
    </r>
    <r>
      <rPr>
        <sz val="9"/>
        <rFont val="Arial"/>
        <family val="2"/>
      </rPr>
      <t xml:space="preserve"> See attached emission statement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</si>
  <si>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vertAlign val="superscript"/>
        <sz val="10"/>
        <rFont val="Arial"/>
        <family val="2"/>
      </rPr>
      <t>[4]</t>
    </r>
  </si>
  <si>
    <r>
      <t>PM</t>
    </r>
    <r>
      <rPr>
        <b/>
        <vertAlign val="subscript"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[3]</t>
    </r>
  </si>
  <si>
    <r>
      <t>PM</t>
    </r>
    <r>
      <rPr>
        <b/>
        <vertAlign val="superscript"/>
        <sz val="10"/>
        <rFont val="Arial"/>
        <family val="2"/>
      </rPr>
      <t>[2]</t>
    </r>
  </si>
  <si>
    <t>(gr/dscf)</t>
  </si>
  <si>
    <t>(dscfm)</t>
  </si>
  <si>
    <t>Requested Control Efficiency</t>
  </si>
  <si>
    <r>
      <t>Emission Factor</t>
    </r>
    <r>
      <rPr>
        <b/>
        <vertAlign val="superscript"/>
        <sz val="10"/>
        <rFont val="Arial"/>
        <family val="2"/>
      </rPr>
      <t>[1]</t>
    </r>
  </si>
  <si>
    <t>Air Flow</t>
  </si>
  <si>
    <t>All Emission Factors from AP-42, unless otherwise noted.</t>
  </si>
  <si>
    <t>Capacity:</t>
  </si>
  <si>
    <t>#6 Fuel Oil:</t>
  </si>
  <si>
    <t>1000 gal/hr</t>
  </si>
  <si>
    <t>#6 Fuel Oil Heating Value:</t>
  </si>
  <si>
    <t>MMBtu/gal</t>
  </si>
  <si>
    <t>#2 Fuel Oil:</t>
  </si>
  <si>
    <t>#2 Fuel Oil Heating Value:</t>
  </si>
  <si>
    <t>Natural Gas:</t>
  </si>
  <si>
    <t>MMcf/hr</t>
  </si>
  <si>
    <t>Natural Gas Heating Value:</t>
  </si>
  <si>
    <t>MMBtu/cf</t>
  </si>
  <si>
    <t xml:space="preserve">Item </t>
  </si>
  <si>
    <t>Natural Gas Emission Factor (lb/MMcf)</t>
  </si>
  <si>
    <t>#2 Oil Emission Factor (lb/1000 gal)</t>
  </si>
  <si>
    <t>#6 Oil Emission Factor  (lb/1000 gal)</t>
  </si>
  <si>
    <t>Natural Gas Hourly Potential (lb/hr)</t>
  </si>
  <si>
    <t xml:space="preserve">#2 Oil Hourly Potential (lb/hr) </t>
  </si>
  <si>
    <t xml:space="preserve">#6 Oil Hourly Potential (lb/hr) </t>
  </si>
  <si>
    <t>Worst Case Emissions (lb/hr)</t>
  </si>
  <si>
    <t>Unrestricted Potential (tpy)</t>
  </si>
  <si>
    <t>Limited Potential (tpy)</t>
  </si>
  <si>
    <t>Hexane - Limited Potential (tpy)</t>
  </si>
  <si>
    <t>Acenaphthene</t>
  </si>
  <si>
    <t>Acenaphthylene</t>
  </si>
  <si>
    <t>Anthracene</t>
  </si>
  <si>
    <t>Benz(a)anthracene</t>
  </si>
  <si>
    <t>Benzene</t>
  </si>
  <si>
    <t>Benzo(a)pyrene</t>
  </si>
  <si>
    <t>Benzo(b)fluoranthene</t>
  </si>
  <si>
    <t>Benzo(g,h,i)perylene</t>
  </si>
  <si>
    <t>Benzo(k)fluoranthene</t>
  </si>
  <si>
    <t>Chrysene</t>
  </si>
  <si>
    <t>Dibenzo(a,h)anthracene</t>
  </si>
  <si>
    <t>Dichlorobenzene</t>
  </si>
  <si>
    <t>Ethylbenzene</t>
  </si>
  <si>
    <t>Fluoranthene</t>
  </si>
  <si>
    <t>Fluorene</t>
  </si>
  <si>
    <t>Formaldehyde</t>
  </si>
  <si>
    <t>Hexane</t>
  </si>
  <si>
    <t>Indendo(1,2,3-cd)pyrene</t>
  </si>
  <si>
    <t>Naphthalene</t>
  </si>
  <si>
    <t>Phenanthrene</t>
  </si>
  <si>
    <t>Pyrene</t>
  </si>
  <si>
    <t>Toluene</t>
  </si>
  <si>
    <t>Xylenes</t>
  </si>
  <si>
    <t>Antimony compounds</t>
  </si>
  <si>
    <t>Arsenic compounds</t>
  </si>
  <si>
    <t>Beryllium compounds</t>
  </si>
  <si>
    <t>Cadmium compounds</t>
  </si>
  <si>
    <t>Chromium compounds</t>
  </si>
  <si>
    <t>Cobalt compounds</t>
  </si>
  <si>
    <t>Manganese compounds</t>
  </si>
  <si>
    <t>Mercury compounds</t>
  </si>
  <si>
    <t>Nickel compounds</t>
  </si>
  <si>
    <t>Selenium compounds</t>
  </si>
  <si>
    <t>HAPs</t>
  </si>
  <si>
    <t>Lead</t>
  </si>
  <si>
    <t>Total PM</t>
  </si>
  <si>
    <t>PM10</t>
  </si>
  <si>
    <t>PM2.5</t>
  </si>
  <si>
    <t>SO2</t>
  </si>
  <si>
    <t>NOx</t>
  </si>
  <si>
    <t>VOCs</t>
  </si>
  <si>
    <t xml:space="preserve">CO </t>
  </si>
  <si>
    <t>CO2</t>
  </si>
  <si>
    <t>CH4</t>
  </si>
  <si>
    <t>N2O</t>
  </si>
  <si>
    <t>GHG</t>
  </si>
  <si>
    <t>CO2e</t>
  </si>
  <si>
    <t>benz(a)anthracene</t>
  </si>
  <si>
    <t xml:space="preserve"> </t>
  </si>
  <si>
    <t>Molasses:</t>
  </si>
  <si>
    <t>Molasses Heating Value:</t>
  </si>
  <si>
    <t>Used Oil:</t>
  </si>
  <si>
    <t>Used Oil Heating Value:</t>
  </si>
  <si>
    <t>Molasses Emission Factor    (lb/MMBtu)</t>
  </si>
  <si>
    <t>Used Oil Emission Factor (lb/1000 gal)</t>
  </si>
  <si>
    <t xml:space="preserve">Natural Gas Hourly Potential (lb/hr) </t>
  </si>
  <si>
    <t>Molasses Hourly Potential    (lb/hr)</t>
  </si>
  <si>
    <t>Worst Case Fuel Hourly Potential (lb/hr)</t>
  </si>
  <si>
    <t>Acetaldehyde</t>
  </si>
  <si>
    <t>Acetephenone</t>
  </si>
  <si>
    <t>Acrolein</t>
  </si>
  <si>
    <t>bis(2-Ethylhexyl)phthalate</t>
  </si>
  <si>
    <t>Carbon tetrachloride</t>
  </si>
  <si>
    <t>Chlorine</t>
  </si>
  <si>
    <t>Chlorobenzene</t>
  </si>
  <si>
    <t>Chloroform</t>
  </si>
  <si>
    <t>Dinitrophenol 2,4</t>
  </si>
  <si>
    <t>Hydrogen Chloride</t>
  </si>
  <si>
    <t>Nitrophenol,4</t>
  </si>
  <si>
    <t>Pentachlorophenol</t>
  </si>
  <si>
    <t>Phenol</t>
  </si>
  <si>
    <t>Styrene</t>
  </si>
  <si>
    <t>TCDD 2,3,7,8</t>
  </si>
  <si>
    <t>Trichlorophenol 2,4,6</t>
  </si>
  <si>
    <t>Vinyl Chloride</t>
  </si>
  <si>
    <t>VOC's</t>
  </si>
  <si>
    <t>CO</t>
  </si>
  <si>
    <t>Boiler 2 - Proposed</t>
  </si>
  <si>
    <t>Wood:</t>
  </si>
  <si>
    <t>lb/hr</t>
  </si>
  <si>
    <t>Wood Heating Value:</t>
  </si>
  <si>
    <t>Wood Emission Factor    (lb/MMBtu)</t>
  </si>
  <si>
    <t>Wood Hourly Potential    (lb/hr)</t>
  </si>
  <si>
    <t>EU034        Boiler 4 Fuels:  Distillate (#2) Fuel Oil, Natural Gas, Wood</t>
  </si>
  <si>
    <t>TEMPORARY BOILERS - PTE</t>
  </si>
  <si>
    <t>tpy - each</t>
  </si>
  <si>
    <t>tpy - total</t>
  </si>
  <si>
    <t>lb/hr - total</t>
  </si>
  <si>
    <t>Actual PM and PM10 emissions calculated using EF of 0.14 lb PM10/mm btu and 0.24 lb PM/mm btu. (Latest G-P Stack test data)</t>
  </si>
  <si>
    <t>Boiler 5, EU035, SV025</t>
  </si>
  <si>
    <t>Used Oil Hourly Potential    (lb/hr)</t>
  </si>
  <si>
    <t>EU035        Boiler 5 Fuels:  Distillate (#2) Fuel Oil, Used Oil, Molasses, Wood</t>
  </si>
  <si>
    <t>Benz(a)pyrene</t>
  </si>
  <si>
    <t>Molasses uses green wood EF's except for  SO2 which used fuel oil EF x % Sulfur in molasses.</t>
  </si>
  <si>
    <t>Total PM Limited to 23.0 tons per year (permit 13700031-002) to keep Boiler 5 modification non-major for PSD.</t>
  </si>
  <si>
    <t xml:space="preserve">Total PM-10 Limited to 13.0 tons per year (permit 13700031-002) to keep Boiler 5 modification non-major for PSD. </t>
  </si>
  <si>
    <t>TSD for permit 13700031-002: "The PM emissions will be limited to 0.35 lb/mmBtu and the PM10 emissions will be limited to 0.2 lb/mmBtu to keep the modification a synthetic minor for PSD."</t>
  </si>
  <si>
    <t>TCO / RTO, EU055, SV046</t>
  </si>
  <si>
    <t>Hourly Potential (lb/hr)</t>
  </si>
  <si>
    <t>EU055         TCO/RTO: Natural Gas</t>
  </si>
  <si>
    <t>Benzo(b,k)fluoranthene</t>
  </si>
  <si>
    <t>7,12-Dimethylbenz(a)anthracene</t>
  </si>
  <si>
    <t>Indo(1,2,3-cd)pyrene</t>
  </si>
  <si>
    <t>2-Methylnaphthalene</t>
  </si>
  <si>
    <t>3-Methylchloranthrene</t>
  </si>
  <si>
    <t>RAFVO:</t>
  </si>
  <si>
    <t>RAFVO Heating Value:</t>
  </si>
  <si>
    <r>
      <t>SO</t>
    </r>
    <r>
      <rPr>
        <b/>
        <vertAlign val="subscript"/>
        <sz val="10"/>
        <rFont val="Arial"/>
        <family val="2"/>
      </rPr>
      <t>2</t>
    </r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</si>
  <si>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</t>
    </r>
  </si>
  <si>
    <t>All HAPs</t>
  </si>
  <si>
    <t>NA</t>
  </si>
  <si>
    <t>S (No. 6):</t>
  </si>
  <si>
    <t>%</t>
  </si>
  <si>
    <t>S (No. 2):</t>
  </si>
  <si>
    <r>
      <t>[4]</t>
    </r>
    <r>
      <rPr>
        <sz val="9"/>
        <rFont val="Arial"/>
        <family val="2"/>
      </rPr>
      <t xml:space="preserve"> VOC emission factor from Air Pollutant Emission Inventory Report 2009</t>
    </r>
  </si>
  <si>
    <r>
      <t>VOC</t>
    </r>
    <r>
      <rPr>
        <b/>
        <vertAlign val="superscript"/>
        <sz val="10"/>
        <rFont val="Arial"/>
        <family val="2"/>
      </rPr>
      <t>[3]</t>
    </r>
  </si>
  <si>
    <r>
      <t>[3]</t>
    </r>
    <r>
      <rPr>
        <sz val="9"/>
        <rFont val="Arial"/>
        <family val="2"/>
      </rPr>
      <t xml:space="preserve"> VOC emission factor from Air Pollutant Emission Inventory Report 2009</t>
    </r>
  </si>
  <si>
    <t>S (RAFVO):</t>
  </si>
  <si>
    <r>
      <t>[4]</t>
    </r>
    <r>
      <rPr>
        <sz val="9"/>
        <rFont val="Arial"/>
        <family val="2"/>
      </rPr>
      <t xml:space="preserve"> VOC emission factor from MPCA PTE records for GP003, dated January 8, 2013</t>
    </r>
  </si>
  <si>
    <t>Single HAP*</t>
  </si>
  <si>
    <t>--</t>
  </si>
  <si>
    <t>Combustion Emissions Calculations</t>
  </si>
  <si>
    <t>Process Emissions Calculations</t>
  </si>
  <si>
    <t>Combustion Emissions Calculations (does not include process emissions)</t>
  </si>
  <si>
    <r>
      <t>CO</t>
    </r>
    <r>
      <rPr>
        <b/>
        <vertAlign val="subscript"/>
        <sz val="10"/>
        <rFont val="Arial"/>
        <family val="2"/>
      </rPr>
      <t>2</t>
    </r>
  </si>
  <si>
    <r>
      <t>CH</t>
    </r>
    <r>
      <rPr>
        <b/>
        <vertAlign val="subscript"/>
        <sz val="10"/>
        <rFont val="Arial"/>
        <family val="2"/>
      </rPr>
      <t>4</t>
    </r>
  </si>
  <si>
    <r>
      <t>N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</si>
  <si>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1,1,1-Trichloroethane</t>
  </si>
  <si>
    <t xml:space="preserve">For RAFVO, use AP-42 emission factors for No. 4 fuel oil, or No. 2 distillate oil when No. 4 fuel oil emission factors are not available (AP-42 section 1.3). </t>
  </si>
  <si>
    <t>Phosphorus</t>
  </si>
  <si>
    <t>EU023</t>
  </si>
  <si>
    <t xml:space="preserve">Emission  </t>
  </si>
  <si>
    <t>Unit</t>
  </si>
  <si>
    <t>Stack /</t>
  </si>
  <si>
    <t>Vent</t>
  </si>
  <si>
    <t>Existing PTE</t>
  </si>
  <si>
    <t>Proposed PTE</t>
  </si>
  <si>
    <t>240**</t>
  </si>
  <si>
    <t>MMBtu/hr  =</t>
  </si>
  <si>
    <t>Propane Hourly Potential (lb/hr)</t>
  </si>
  <si>
    <t>Propane:</t>
  </si>
  <si>
    <t>Propane Heating Value:</t>
  </si>
  <si>
    <t>(tpy)</t>
  </si>
  <si>
    <r>
      <t>** Facility is currently subject to a 240 tpy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limit.</t>
    </r>
  </si>
  <si>
    <t>S (propane):</t>
  </si>
  <si>
    <t>Propane Emission Factor (lb/1000 gal)</t>
  </si>
  <si>
    <t>gr/100 scf</t>
  </si>
  <si>
    <t>tpy</t>
  </si>
  <si>
    <t>Total (lb/hr)</t>
  </si>
  <si>
    <t>Name</t>
  </si>
  <si>
    <t>CAS No.</t>
  </si>
  <si>
    <t>83-32-9</t>
  </si>
  <si>
    <t>203-96-8</t>
  </si>
  <si>
    <t>120-12-7</t>
  </si>
  <si>
    <t>56-55-3</t>
  </si>
  <si>
    <t>71-43-2</t>
  </si>
  <si>
    <t>50-32-8</t>
  </si>
  <si>
    <t>205-99-2</t>
  </si>
  <si>
    <t>191-24-2</t>
  </si>
  <si>
    <t>205-82-3</t>
  </si>
  <si>
    <t>218-01-9</t>
  </si>
  <si>
    <t>53-70-3</t>
  </si>
  <si>
    <t>206-44-0</t>
  </si>
  <si>
    <t>86-73-7</t>
  </si>
  <si>
    <t>50-00-0</t>
  </si>
  <si>
    <t>110-54-3</t>
  </si>
  <si>
    <t>193-39-5</t>
  </si>
  <si>
    <t>91-57-6</t>
  </si>
  <si>
    <t>56-49-5</t>
  </si>
  <si>
    <t>91-20-3</t>
  </si>
  <si>
    <t>85-01-8</t>
  </si>
  <si>
    <t>129-00-0</t>
  </si>
  <si>
    <t>108-88-3</t>
  </si>
  <si>
    <t>7440-38-2</t>
  </si>
  <si>
    <t>7440-41-7</t>
  </si>
  <si>
    <t>7440-43-9</t>
  </si>
  <si>
    <t>7440-47-3</t>
  </si>
  <si>
    <t>7440-48-4</t>
  </si>
  <si>
    <t>7439-97-6</t>
  </si>
  <si>
    <t>7439-96-5</t>
  </si>
  <si>
    <t>7440-02-0</t>
  </si>
  <si>
    <t>7782-49-2</t>
  </si>
  <si>
    <t>100-41-4</t>
  </si>
  <si>
    <t>1330-20-7</t>
  </si>
  <si>
    <t>7440-36-0</t>
  </si>
  <si>
    <t>71-55-6</t>
  </si>
  <si>
    <t>57-97-6</t>
  </si>
  <si>
    <t>106-46-7</t>
  </si>
  <si>
    <t>Hazardous Air Pollutants</t>
  </si>
  <si>
    <t>Combustion Emissions Summary</t>
  </si>
  <si>
    <t>Combustion Emissions Calculations - EXISTING</t>
  </si>
  <si>
    <t>Combustion Emissions Calculations  - EXISTING - (does not include process emissions)</t>
  </si>
  <si>
    <t>Limited Fuel Oil Use:</t>
  </si>
  <si>
    <t>Natural Gas Annual Potential (tpy)</t>
  </si>
  <si>
    <t xml:space="preserve">#2 Oil Annual Potential (tpy) </t>
  </si>
  <si>
    <t>Propane Annual Potential (tpy)</t>
  </si>
  <si>
    <r>
      <t>Fuel oil no. 2 PM emission factors: Manufacturer-provided guarantee of 0.03 lb/MMBtu (4.2 lb/1000 gal) for filterable PM; filterable 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/PM</t>
    </r>
    <r>
      <rPr>
        <vertAlign val="subscript"/>
        <sz val="10"/>
        <rFont val="Arial"/>
        <family val="2"/>
      </rPr>
      <t>2.5</t>
    </r>
    <r>
      <rPr>
        <sz val="10"/>
        <rFont val="Arial"/>
        <family val="2"/>
      </rPr>
      <t xml:space="preserve"> scaled up according to AP-42 Table 1.3-6, based on filterable PM guarantee. Condensable PM/PM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/PM</t>
    </r>
    <r>
      <rPr>
        <vertAlign val="subscript"/>
        <sz val="10"/>
        <rFont val="Arial"/>
        <family val="2"/>
      </rPr>
      <t>2.5</t>
    </r>
    <r>
      <rPr>
        <sz val="10"/>
        <rFont val="Arial"/>
        <family val="2"/>
      </rPr>
      <t xml:space="preserve"> from AP-42 Table 1.3-2.</t>
    </r>
  </si>
  <si>
    <t>NG ppm</t>
  </si>
  <si>
    <t>Oil ppm</t>
  </si>
  <si>
    <t>F (nat gas)</t>
  </si>
  <si>
    <t>F (oil)</t>
  </si>
  <si>
    <t>NG lb/MMBtu</t>
  </si>
  <si>
    <t>Oil lb/MMBtu</t>
  </si>
  <si>
    <t>Existing Emission Units</t>
  </si>
  <si>
    <t>Proposed/Revised Emission Units</t>
  </si>
  <si>
    <t>Combustion Units</t>
  </si>
  <si>
    <t>Totals</t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</si>
  <si>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e*</t>
    </r>
  </si>
  <si>
    <t>Total  PRF Emissions</t>
  </si>
  <si>
    <t>Total Cooking Process Emissions</t>
  </si>
  <si>
    <t>Total PPF Process Emissions</t>
  </si>
  <si>
    <t>Maximum Unrestricted Emissions</t>
  </si>
  <si>
    <t>Maximum Unrestricted</t>
  </si>
  <si>
    <t>Venturi Scrubber Control Efficiency</t>
  </si>
  <si>
    <t>Fabric Filter Control Efficiency</t>
  </si>
  <si>
    <t>Particulate Capture Unit Control Efficiency</t>
  </si>
  <si>
    <r>
      <t>[4]</t>
    </r>
    <r>
      <rPr>
        <sz val="9"/>
        <rFont val="Arial"/>
        <family val="2"/>
      </rPr>
      <t xml:space="preserve">Uncontrolled VOC emission factor taken from AP-42 Table 9.13.3-3 for "Continuous Deep Fat Fryer - Other Snack Chips" </t>
    </r>
  </si>
  <si>
    <r>
      <t>[1]</t>
    </r>
    <r>
      <rPr>
        <sz val="9"/>
        <rFont val="Arial"/>
        <family val="2"/>
      </rPr>
      <t>Performance test data showing 0.87 lb PM per ton of feathers processed (Braun Intertec Report: Central Bi-Products, Redwood Falls, Minnesota, June 1995). Controlled emissions.</t>
    </r>
  </si>
  <si>
    <t>RAFVO Emission Factor (lb/1000 gal)</t>
  </si>
  <si>
    <t xml:space="preserve">RAFVO Hourly Potential (lb/hr) </t>
  </si>
  <si>
    <t xml:space="preserve">RAFVO Annual Potential (tpy) </t>
  </si>
  <si>
    <t>RAFVO Emission Test Results, Green Bay Sanimax Facility</t>
  </si>
  <si>
    <t>Fuel</t>
  </si>
  <si>
    <t>Yellow Grease</t>
  </si>
  <si>
    <t>Tallow</t>
  </si>
  <si>
    <t>Boiler</t>
  </si>
  <si>
    <t>Tested MMBtu/hr</t>
  </si>
  <si>
    <t>Rated MMBtu/hr</t>
  </si>
  <si>
    <t>Total PM (lb/hr)</t>
  </si>
  <si>
    <t>Cleaver-Brooks</t>
  </si>
  <si>
    <t>Johnston</t>
  </si>
  <si>
    <t>CO (lb/hr)</t>
  </si>
  <si>
    <t>Formaldehyde (lb/1000 gal)</t>
  </si>
  <si>
    <t>VOC (lb/hr)</t>
  </si>
  <si>
    <t>NOx (lb/hr)</t>
  </si>
  <si>
    <t>CO (lb/MMBtu)</t>
  </si>
  <si>
    <t>NOx (lb/MMBtu)</t>
  </si>
  <si>
    <t>VOC (lb/MMBtu)</t>
  </si>
  <si>
    <t>Total PM (lb/MMBtu)</t>
  </si>
  <si>
    <t>July 16-17, 2002 and January 7 &amp; 20, 2005</t>
  </si>
  <si>
    <t>Proposed Boiler Capacity:</t>
  </si>
  <si>
    <t>RAFVO Consumption Rate:</t>
  </si>
  <si>
    <t>Control</t>
  </si>
  <si>
    <t>Equipment</t>
  </si>
  <si>
    <t>Description</t>
  </si>
  <si>
    <t>Ring/Blood Dryer</t>
  </si>
  <si>
    <t>Blood Pneumatic Conveying System</t>
  </si>
  <si>
    <t>Boiler No. 1</t>
  </si>
  <si>
    <t>Boiler No. 2</t>
  </si>
  <si>
    <t>Boiler No. 3</t>
  </si>
  <si>
    <t>Protein Silo No. 1</t>
  </si>
  <si>
    <t>Protein Silo No. 2</t>
  </si>
  <si>
    <t>Continuous Milling System</t>
  </si>
  <si>
    <t>Feather Pneumatic Conveying System</t>
  </si>
  <si>
    <t xml:space="preserve">PPF Cooking </t>
  </si>
  <si>
    <t>PPF Pressing</t>
  </si>
  <si>
    <t>PPF Milling</t>
  </si>
  <si>
    <t>Continuous Cooker No. 1</t>
  </si>
  <si>
    <t>Continuous Cooker No. 2</t>
  </si>
  <si>
    <t>Use natural gas emission factors for HAPs and lead as a conservative estimate for propane.</t>
  </si>
  <si>
    <t>NOx Unrestricted Potential calculated based on tested emission factor for RAFVO + 50%, assuming no low-NOx burner for emission control.</t>
  </si>
  <si>
    <r>
      <t xml:space="preserve">1a) </t>
    </r>
    <r>
      <rPr>
        <sz val="10"/>
        <rFont val="Arial"/>
        <family val="2"/>
      </rPr>
      <t>AQ Facility ID No.:</t>
    </r>
  </si>
  <si>
    <t>1b) Agency Interest ID No.:</t>
  </si>
  <si>
    <t xml:space="preserve">2)  Facility Name:  </t>
  </si>
  <si>
    <t xml:space="preserve">  If multiple copies of these </t>
  </si>
  <si>
    <t>tables are used, indicate which number this page is over the total number of pages of these tables (e.g., 1/3):</t>
  </si>
  <si>
    <t>7/52</t>
  </si>
  <si>
    <t>8/52</t>
  </si>
  <si>
    <t>9/52</t>
  </si>
  <si>
    <t>10/52</t>
  </si>
  <si>
    <t>11/52</t>
  </si>
  <si>
    <t>12/52</t>
  </si>
  <si>
    <t>13/52</t>
  </si>
  <si>
    <r>
      <t xml:space="preserve">3a) </t>
    </r>
    <r>
      <rPr>
        <sz val="10"/>
        <rFont val="Arial"/>
        <family val="2"/>
      </rPr>
      <t>Delta ID No.:</t>
    </r>
  </si>
  <si>
    <t>TK010</t>
  </si>
  <si>
    <t>TK011</t>
  </si>
  <si>
    <t>FS001</t>
  </si>
  <si>
    <r>
      <t xml:space="preserve">3b) </t>
    </r>
    <r>
      <rPr>
        <sz val="10"/>
        <rFont val="Arial"/>
        <family val="2"/>
      </rPr>
      <t>Tempo SI ID No.:</t>
    </r>
  </si>
  <si>
    <t>3c)</t>
  </si>
  <si>
    <t xml:space="preserve">3d) </t>
  </si>
  <si>
    <r>
      <t xml:space="preserve">3e) </t>
    </r>
    <r>
      <rPr>
        <sz val="10"/>
        <rFont val="Arial"/>
        <family val="2"/>
      </rPr>
      <t>Potential</t>
    </r>
  </si>
  <si>
    <t>3f)</t>
  </si>
  <si>
    <t>Pollutant                        Name</t>
  </si>
  <si>
    <t>CAS #</t>
  </si>
  <si>
    <t>Lbs per Hr</t>
  </si>
  <si>
    <t>Unc       tpy</t>
  </si>
  <si>
    <t>Lim        (tpy)</t>
  </si>
  <si>
    <t>Actual tpy</t>
  </si>
  <si>
    <t>208-96-8</t>
  </si>
  <si>
    <t>20/52</t>
  </si>
  <si>
    <t>21/52</t>
  </si>
  <si>
    <t>22/52</t>
  </si>
  <si>
    <t>23/52</t>
  </si>
  <si>
    <t>24/52</t>
  </si>
  <si>
    <t>25/52</t>
  </si>
  <si>
    <t>26/52</t>
  </si>
  <si>
    <t>191-4-2</t>
  </si>
  <si>
    <t>207-08-9</t>
  </si>
  <si>
    <t>25321-22-6</t>
  </si>
  <si>
    <t>33/52</t>
  </si>
  <si>
    <t>34/52</t>
  </si>
  <si>
    <t>35/52</t>
  </si>
  <si>
    <t>36/52</t>
  </si>
  <si>
    <t>37/52</t>
  </si>
  <si>
    <t>38/52</t>
  </si>
  <si>
    <t>39/52</t>
  </si>
  <si>
    <t>46/52</t>
  </si>
  <si>
    <t>47/52</t>
  </si>
  <si>
    <t>58/52</t>
  </si>
  <si>
    <t>49/52</t>
  </si>
  <si>
    <t>50/52</t>
  </si>
  <si>
    <t>51/52</t>
  </si>
  <si>
    <t>52/52</t>
  </si>
  <si>
    <t>7789-49-2</t>
  </si>
  <si>
    <t>124-38-9</t>
  </si>
  <si>
    <t>74-82-8</t>
  </si>
  <si>
    <t>10024-97-2</t>
  </si>
  <si>
    <t>If multiple copies of these tables are used, indicate which number this page is over the total number of pages:</t>
  </si>
  <si>
    <t>1/4</t>
  </si>
  <si>
    <t>4a)</t>
  </si>
  <si>
    <r>
      <t>4b)</t>
    </r>
    <r>
      <rPr>
        <sz val="10"/>
        <rFont val="Arial"/>
        <family val="2"/>
      </rPr>
      <t xml:space="preserve"> Potential (tpy)</t>
    </r>
  </si>
  <si>
    <r>
      <t xml:space="preserve">4c) </t>
    </r>
    <r>
      <rPr>
        <sz val="10"/>
        <rFont val="Arial"/>
        <family val="2"/>
      </rPr>
      <t>Actual</t>
    </r>
  </si>
  <si>
    <t>Pollutant Name</t>
  </si>
  <si>
    <t>Unrestricted</t>
  </si>
  <si>
    <t>Limited</t>
  </si>
  <si>
    <t>tons/year</t>
  </si>
  <si>
    <r>
      <t>NO</t>
    </r>
    <r>
      <rPr>
        <vertAlign val="subscript"/>
        <sz val="9"/>
        <rFont val="Arial"/>
        <family val="2"/>
      </rPr>
      <t>X</t>
    </r>
  </si>
  <si>
    <r>
      <t>PM</t>
    </r>
    <r>
      <rPr>
        <vertAlign val="subscript"/>
        <sz val="9"/>
        <rFont val="Arial"/>
        <family val="2"/>
      </rPr>
      <t>10</t>
    </r>
  </si>
  <si>
    <r>
      <t>PM</t>
    </r>
    <r>
      <rPr>
        <vertAlign val="subscript"/>
        <sz val="9"/>
        <rFont val="Arial"/>
        <family val="2"/>
      </rPr>
      <t>2.5</t>
    </r>
  </si>
  <si>
    <r>
      <t>SO</t>
    </r>
    <r>
      <rPr>
        <vertAlign val="subscript"/>
        <sz val="9"/>
        <rFont val="Arial"/>
        <family val="2"/>
      </rPr>
      <t>2</t>
    </r>
  </si>
  <si>
    <r>
      <t>CO</t>
    </r>
    <r>
      <rPr>
        <vertAlign val="subscript"/>
        <sz val="9"/>
        <rFont val="Arial"/>
        <family val="2"/>
      </rPr>
      <t>2e</t>
    </r>
  </si>
  <si>
    <r>
      <t>CO</t>
    </r>
    <r>
      <rPr>
        <vertAlign val="subscript"/>
        <sz val="9"/>
        <rFont val="Arial"/>
        <family val="2"/>
      </rPr>
      <t>2</t>
    </r>
  </si>
  <si>
    <r>
      <rPr>
        <sz val="9"/>
        <rFont val="Arial"/>
        <family val="2"/>
      </rPr>
      <t>CH</t>
    </r>
    <r>
      <rPr>
        <vertAlign val="subscript"/>
        <sz val="9"/>
        <rFont val="Arial"/>
        <family val="2"/>
      </rPr>
      <t>4</t>
    </r>
  </si>
  <si>
    <r>
      <t>N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</t>
    </r>
  </si>
  <si>
    <t>Application is being submitted on a compact disc (CD), and the editable calculation spreadsheet(s) are included on the CD.</t>
  </si>
  <si>
    <t>Application is being submitted on paper, and editable calculation spreadsheet(s) are included on an enclosed CD.</t>
  </si>
  <si>
    <t>2/4</t>
  </si>
  <si>
    <t>Benzo(a)anthracene</t>
  </si>
  <si>
    <t>3/4</t>
  </si>
  <si>
    <t>3-Methylchlroanthrene</t>
  </si>
  <si>
    <t>4/4</t>
  </si>
  <si>
    <t>Arsenic Compounds</t>
  </si>
  <si>
    <t>5/5</t>
  </si>
  <si>
    <t>03700070</t>
  </si>
  <si>
    <t>Sanimax USA, LLC</t>
  </si>
  <si>
    <t>FS002</t>
  </si>
  <si>
    <t>Annual Throughputs:</t>
  </si>
  <si>
    <t>Vehicle Weights</t>
  </si>
  <si>
    <t>Feather Receiving</t>
  </si>
  <si>
    <t>tons</t>
  </si>
  <si>
    <t>Average Truck Weight (Empty)</t>
  </si>
  <si>
    <t>Poultry Receiving</t>
  </si>
  <si>
    <t>Average Truck Weight (Full)</t>
  </si>
  <si>
    <t># of truck factor</t>
  </si>
  <si>
    <t>Other Receiving</t>
  </si>
  <si>
    <t>Average Truck Capacity</t>
  </si>
  <si>
    <t>Feather Loadout</t>
  </si>
  <si>
    <t>Average Employee Vehicle</t>
  </si>
  <si>
    <t>Poultry Loadout</t>
  </si>
  <si>
    <t>Other Loadout</t>
  </si>
  <si>
    <t>S = Average vehicle speed:</t>
  </si>
  <si>
    <t>mph</t>
  </si>
  <si>
    <t>Grease/Fat Loadout</t>
  </si>
  <si>
    <t>P = Number of "wet" days:</t>
  </si>
  <si>
    <t>(AP-42 Figure 13.2.1-2)</t>
  </si>
  <si>
    <r>
      <t>Particle Size Multipliers (paved roads)</t>
    </r>
    <r>
      <rPr>
        <b/>
        <vertAlign val="superscript"/>
        <sz val="10"/>
        <rFont val="Arial"/>
        <family val="2"/>
      </rPr>
      <t>[1]</t>
    </r>
    <r>
      <rPr>
        <b/>
        <sz val="10"/>
        <rFont val="Arial"/>
        <family val="2"/>
      </rPr>
      <t>:</t>
    </r>
  </si>
  <si>
    <r>
      <t>Particulate Emission Factors</t>
    </r>
    <r>
      <rPr>
        <b/>
        <vertAlign val="superscript"/>
        <sz val="10"/>
        <rFont val="Arial"/>
        <family val="2"/>
      </rPr>
      <t>[2]</t>
    </r>
    <r>
      <rPr>
        <b/>
        <sz val="10"/>
        <rFont val="Arial"/>
        <family val="2"/>
      </rPr>
      <t>:</t>
    </r>
  </si>
  <si>
    <t>PM (lb/VMT)</t>
  </si>
  <si>
    <r>
      <t>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(lb/VMT)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</si>
  <si>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sz val="10"/>
        <rFont val="Arial"/>
        <family val="2"/>
      </rPr>
      <t xml:space="preserve"> (lb/VMT)</t>
    </r>
  </si>
  <si>
    <t>k-PM</t>
  </si>
  <si>
    <t>lb/VMT</t>
  </si>
  <si>
    <t>Haul Trucks (Full)</t>
  </si>
  <si>
    <r>
      <t>k-PM</t>
    </r>
    <r>
      <rPr>
        <b/>
        <vertAlign val="subscript"/>
        <sz val="10"/>
        <rFont val="Arial"/>
        <family val="2"/>
      </rPr>
      <t>10</t>
    </r>
  </si>
  <si>
    <t>Haul Trucks (Empty)</t>
  </si>
  <si>
    <r>
      <t>k-PM</t>
    </r>
    <r>
      <rPr>
        <b/>
        <vertAlign val="subscript"/>
        <sz val="10"/>
        <rFont val="Arial"/>
        <family val="2"/>
      </rPr>
      <t>2.5</t>
    </r>
  </si>
  <si>
    <t>Haul Trucks (Average)</t>
  </si>
  <si>
    <t>Employee Vehicles</t>
  </si>
  <si>
    <r>
      <t>sL = road surface silt loading</t>
    </r>
    <r>
      <rPr>
        <b/>
        <vertAlign val="superscript"/>
        <sz val="10"/>
        <rFont val="Arial"/>
        <family val="2"/>
      </rPr>
      <t>[3]</t>
    </r>
    <r>
      <rPr>
        <b/>
        <sz val="10"/>
        <rFont val="Arial"/>
        <family val="2"/>
      </rPr>
      <t>:</t>
    </r>
  </si>
  <si>
    <r>
      <t>g/m</t>
    </r>
    <r>
      <rPr>
        <b/>
        <vertAlign val="superscript"/>
        <sz val="10"/>
        <rFont val="Arial"/>
        <family val="2"/>
      </rPr>
      <t>2</t>
    </r>
  </si>
  <si>
    <t>Activity</t>
  </si>
  <si>
    <t>Modeled Segment</t>
  </si>
  <si>
    <t># of Vehicles</t>
  </si>
  <si>
    <t>Distance</t>
  </si>
  <si>
    <t>lbs/yr</t>
  </si>
  <si>
    <t>lbs/hr (average)</t>
  </si>
  <si>
    <t>tons/yr</t>
  </si>
  <si>
    <t>(miles)</t>
  </si>
  <si>
    <t>VMT total</t>
  </si>
  <si>
    <t>Receiving</t>
  </si>
  <si>
    <t>Feather</t>
  </si>
  <si>
    <t>HR1</t>
  </si>
  <si>
    <t>Poultry (new)</t>
  </si>
  <si>
    <t>HR3</t>
  </si>
  <si>
    <t>Other</t>
  </si>
  <si>
    <t>HR2</t>
  </si>
  <si>
    <t>Loadout</t>
  </si>
  <si>
    <t>HR4</t>
  </si>
  <si>
    <t>HR5</t>
  </si>
  <si>
    <t>Grease/Fat</t>
  </si>
  <si>
    <t>Employee Traffic</t>
  </si>
  <si>
    <t>Employee Traffic (both ways)</t>
  </si>
  <si>
    <t>HR6</t>
  </si>
  <si>
    <t>Empty Trailer Traffic/Staging</t>
  </si>
  <si>
    <t>Feather &amp; Other</t>
  </si>
  <si>
    <r>
      <t>[1]</t>
    </r>
    <r>
      <rPr>
        <sz val="10"/>
        <rFont val="Arial"/>
        <family val="2"/>
      </rPr>
      <t xml:space="preserve"> Particle size multipliers are taken from AP-42 Chapter 13.2.1 Paved Roads Table 13.2.1-1</t>
    </r>
  </si>
  <si>
    <r>
      <t>[2]</t>
    </r>
    <r>
      <rPr>
        <sz val="10"/>
        <rFont val="Arial"/>
        <family val="2"/>
      </rPr>
      <t xml:space="preserve"> Particulate emission factors calculated from AP-42 Chapter 13.2.1 Paved Roads equation 2</t>
    </r>
  </si>
  <si>
    <r>
      <t>[3]</t>
    </r>
    <r>
      <rPr>
        <sz val="10"/>
        <rFont val="Arial"/>
        <family val="2"/>
      </rPr>
      <t xml:space="preserve"> Silt loading value taken from AP-42 Chapter 13.2.1 Paved Roads Table 13.2.1-2 for ADT traffic &lt;500</t>
    </r>
  </si>
  <si>
    <r>
      <t>Particle Size Multipliers (unpaved roads)</t>
    </r>
    <r>
      <rPr>
        <b/>
        <vertAlign val="superscript"/>
        <sz val="10"/>
        <rFont val="Arial"/>
        <family val="2"/>
      </rPr>
      <t>[4]</t>
    </r>
    <r>
      <rPr>
        <b/>
        <sz val="10"/>
        <rFont val="Arial"/>
        <family val="2"/>
      </rPr>
      <t>:</t>
    </r>
  </si>
  <si>
    <r>
      <t>Particulate Emission Factors</t>
    </r>
    <r>
      <rPr>
        <b/>
        <vertAlign val="superscript"/>
        <sz val="10"/>
        <rFont val="Arial"/>
        <family val="2"/>
      </rPr>
      <t>[5]</t>
    </r>
    <r>
      <rPr>
        <b/>
        <sz val="10"/>
        <rFont val="Arial"/>
        <family val="2"/>
      </rPr>
      <t>:</t>
    </r>
  </si>
  <si>
    <t>a-PM</t>
  </si>
  <si>
    <r>
      <t>a-PM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/ PM</t>
    </r>
    <r>
      <rPr>
        <b/>
        <vertAlign val="subscript"/>
        <sz val="10"/>
        <rFont val="Arial"/>
        <family val="2"/>
      </rPr>
      <t>2.5</t>
    </r>
  </si>
  <si>
    <r>
      <t>b-PM / 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/ PM</t>
    </r>
    <r>
      <rPr>
        <b/>
        <vertAlign val="subscript"/>
        <sz val="10"/>
        <rFont val="Arial"/>
        <family val="2"/>
      </rPr>
      <t>2.5</t>
    </r>
  </si>
  <si>
    <r>
      <t>s = surface material silt content</t>
    </r>
    <r>
      <rPr>
        <b/>
        <vertAlign val="superscript"/>
        <sz val="10"/>
        <rFont val="Arial"/>
        <family val="2"/>
      </rPr>
      <t>[6]</t>
    </r>
  </si>
  <si>
    <t>Empty Trailer Staging</t>
  </si>
  <si>
    <r>
      <t>[4]</t>
    </r>
    <r>
      <rPr>
        <sz val="10"/>
        <rFont val="Arial"/>
        <family val="2"/>
      </rPr>
      <t xml:space="preserve"> Particle size multipliers, constants and silt content taken from AP-42 Chapter 13.2.2 Unpaved Roads Tables 13.2.2-1 and 13.2.2-2</t>
    </r>
  </si>
  <si>
    <r>
      <t>[5]</t>
    </r>
    <r>
      <rPr>
        <sz val="10"/>
        <rFont val="Arial"/>
        <family val="2"/>
      </rPr>
      <t xml:space="preserve"> Particulate emission factors calculated from AP-42 Chapter 13.2.2 Unpaved Roads equations 1a and 2</t>
    </r>
  </si>
  <si>
    <t>Lim        tpy</t>
  </si>
  <si>
    <t>Cont.     (lb/hr)</t>
  </si>
  <si>
    <t>Uncont.    (tpy)</t>
  </si>
  <si>
    <t>Cont.    (tpy)</t>
  </si>
  <si>
    <t>Lead compounds</t>
  </si>
  <si>
    <t>7439-92-1</t>
  </si>
  <si>
    <t>1/24</t>
  </si>
  <si>
    <t>2/24</t>
  </si>
  <si>
    <t>3/24</t>
  </si>
  <si>
    <t>4/24</t>
  </si>
  <si>
    <t>5/24</t>
  </si>
  <si>
    <t>6/24</t>
  </si>
  <si>
    <t>7/24</t>
  </si>
  <si>
    <t>8/24</t>
  </si>
  <si>
    <t>9/24</t>
  </si>
  <si>
    <t>10/24</t>
  </si>
  <si>
    <t>11/24</t>
  </si>
  <si>
    <t>12/24</t>
  </si>
  <si>
    <t>13/24</t>
  </si>
  <si>
    <t>14/24</t>
  </si>
  <si>
    <t>15/24</t>
  </si>
  <si>
    <t>16/24</t>
  </si>
  <si>
    <t>17/24</t>
  </si>
  <si>
    <t>18/24</t>
  </si>
  <si>
    <t>19/24</t>
  </si>
  <si>
    <t>20/24</t>
  </si>
  <si>
    <t>21/24</t>
  </si>
  <si>
    <t>22/24</t>
  </si>
  <si>
    <t>23/24</t>
  </si>
  <si>
    <t>24/24</t>
  </si>
  <si>
    <t>Unc. (tpy)</t>
  </si>
  <si>
    <t>Lim.  (tpy)</t>
  </si>
  <si>
    <t>Unc. = Uncontrolled emissions; Lim. = Limited (controlled) emissions</t>
  </si>
  <si>
    <t>Unrestricted Total (tpy)</t>
  </si>
  <si>
    <t>Limited Total (tpy)</t>
  </si>
  <si>
    <t>Facility PTE Summary (Page 1 of 2)</t>
  </si>
  <si>
    <t>Facility PTE Summary (Page 2 of 2)</t>
  </si>
  <si>
    <t>*Does not include combustion emissions*</t>
  </si>
  <si>
    <t>Proposed PTE*</t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</si>
  <si>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e**</t>
    </r>
  </si>
  <si>
    <t>Max Emission Factor from Test Results (lb/MMBtu)</t>
  </si>
  <si>
    <t>Max Emission Factor from Test Results (lb/1000 gal)</t>
  </si>
  <si>
    <t>Calculated RAFVO Emission Factors, South St. Paul Sanimax Facility</t>
  </si>
  <si>
    <t>Fuel Oil No. 4 Emission Factor* (lb/1000 gal)</t>
  </si>
  <si>
    <t>% of Total PM*</t>
  </si>
  <si>
    <t xml:space="preserve">  -Filterable PM emission factors from AP-42 Table 1.3-5 (A = 0.84 for No. 4 oil)</t>
  </si>
  <si>
    <t xml:space="preserve">  -Condensable PM emission factors from Table 1.3-2 (use factors provided for no. 6 oil)</t>
  </si>
  <si>
    <t>*PM10 and PM2.5 emission factors for RAFVO were scaled based on AP-42fuel oil no. 4 emission factors.</t>
  </si>
  <si>
    <t>Proposed Emission Factors - Scaled up 50% (lb/1000 gal)</t>
  </si>
  <si>
    <t>Protein Recovery Facility</t>
  </si>
  <si>
    <r>
      <t>[6]</t>
    </r>
    <r>
      <rPr>
        <sz val="10"/>
        <rFont val="Arial"/>
        <family val="2"/>
      </rPr>
      <t xml:space="preserve"> Silt content value taken from AP-42 Chapter 13.2.2 Unpaved Roads Table 13.2.2-1 for the mean value of taconite mining and processing</t>
    </r>
  </si>
  <si>
    <t>K (NOx)</t>
  </si>
  <si>
    <t>*Values are based on the maximum potential to emit for all types of proposed fuels.</t>
  </si>
  <si>
    <r>
      <t>**Global warming potentials (GWP) from Table A-1 to Subpart A of 40 CFR Part 98: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GWP = 1, CH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GWP = 25, 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 GWP = 298.</t>
    </r>
  </si>
  <si>
    <t>Permitted PTE***</t>
  </si>
  <si>
    <t>* Largest emitted HAP is hexane.</t>
  </si>
  <si>
    <t>*** PTE from the existing facility, as presented in the current Total Facility Operating Permit and January 2013 Permit Renewal Application.</t>
  </si>
  <si>
    <t>Change in PTE (Existing - Proposed)</t>
  </si>
  <si>
    <t>Change in PTE (Permitted - Proposed)</t>
  </si>
  <si>
    <r>
      <t xml:space="preserve">5)    </t>
    </r>
    <r>
      <rPr>
        <b/>
        <sz val="10"/>
        <rFont val="MS Mincho"/>
        <family val="3"/>
        <charset val="128"/>
      </rPr>
      <t>☒</t>
    </r>
  </si>
  <si>
    <t xml:space="preserve">    ☐</t>
  </si>
  <si>
    <t>Vegetable Oil:</t>
  </si>
  <si>
    <t>Refined Animal Fat:</t>
  </si>
  <si>
    <t>Vegetable Oil Heating Value:</t>
  </si>
  <si>
    <r>
      <t>CO</t>
    </r>
    <r>
      <rPr>
        <b/>
        <vertAlign val="sub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- Refined Animal Fat</t>
    </r>
  </si>
  <si>
    <r>
      <t>CO</t>
    </r>
    <r>
      <rPr>
        <b/>
        <vertAlign val="sub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 xml:space="preserve"> - Vegetable Oil</t>
    </r>
  </si>
  <si>
    <t>Refined Animal Fat Heating Value:</t>
  </si>
  <si>
    <t>RAFVO heating values are the default high heat values for rendered  animal fat and vegetable oil from 40 CFR Part 98, Table C-1.</t>
  </si>
  <si>
    <r>
      <t>RAFVO emission factors: PM, NOx, VOC, CO, and formaldehyde based on yellow grease and tallow emission test results from a 99.5 MMBtu/hr boiler at Sanimax Green Bay, July 2002 and January 2005. Worst-case emission factors used for each pollutant, plus a 50% safety factor.  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and PM</t>
    </r>
    <r>
      <rPr>
        <vertAlign val="subscript"/>
        <sz val="10"/>
        <rFont val="Arial"/>
        <family val="2"/>
      </rPr>
      <t>2.5</t>
    </r>
    <r>
      <rPr>
        <sz val="10"/>
        <rFont val="Arial"/>
        <family val="2"/>
      </rPr>
      <t xml:space="preserve"> emission factors based on Total PM value and scaled the same as AP-42 factors for fuel oil no. 4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= 88% of PM; PM</t>
    </r>
    <r>
      <rPr>
        <vertAlign val="subscript"/>
        <sz val="10"/>
        <rFont val="Arial"/>
        <family val="2"/>
      </rPr>
      <t>2.5</t>
    </r>
    <r>
      <rPr>
        <sz val="10"/>
        <rFont val="Arial"/>
        <family val="2"/>
      </rPr>
      <t xml:space="preserve"> = 64% of PM).  SO2 and CH4 emission factor for fuel oil no. 4 (AP-42 Tables 1.3-1 &amp; 1.3-3). Fuel oil no. 2 emission factors for HAPs (except formaldehyde) and lead were used as a conservative estimate. </t>
    </r>
    <r>
      <rPr>
        <sz val="10"/>
        <color rgb="FFFF0000"/>
        <rFont val="Arial"/>
        <family val="2"/>
      </rPr>
      <t>N</t>
    </r>
    <r>
      <rPr>
        <vertAlign val="subscript"/>
        <sz val="10"/>
        <color rgb="FFFF0000"/>
        <rFont val="Arial"/>
        <family val="2"/>
      </rPr>
      <t>2</t>
    </r>
    <r>
      <rPr>
        <sz val="10"/>
        <color rgb="FFFF0000"/>
        <rFont val="Arial"/>
        <family val="2"/>
      </rPr>
      <t>O emission factors are equal to the average of the emission factors for no. 6 and no. 2 fuel oils (AP-42 Tables 1.3-8 &amp; 1.3-12). CO</t>
    </r>
    <r>
      <rPr>
        <vertAlign val="subscript"/>
        <sz val="10"/>
        <color rgb="FFFF0000"/>
        <rFont val="Arial"/>
        <family val="2"/>
      </rPr>
      <t>2</t>
    </r>
    <r>
      <rPr>
        <sz val="10"/>
        <color rgb="FFFF0000"/>
        <rFont val="Arial"/>
        <family val="2"/>
      </rPr>
      <t xml:space="preserve"> emission factors for rendered animal fat and vegetable oil from 40 CFR Part 98, Table C-1. </t>
    </r>
  </si>
  <si>
    <t>PTE Change (tpy)</t>
  </si>
  <si>
    <t>Proposed</t>
  </si>
  <si>
    <t>Facility PTE Summary - Proposed Operating Scenario with Boiler 3 (Page 1 of 2)</t>
  </si>
  <si>
    <t>Facility PTE Summary - Proposed Operating Scenario with Boiler 3 (Page 2 of 2)</t>
  </si>
  <si>
    <t>Facility PTE Summary - Proposed Operating Scenario with Boiler 1 (Page 1 of 2)</t>
  </si>
  <si>
    <t>Facility PTE Summary - Proposed Operating Scenario with Boiler 1 (Page 2 of 2)</t>
  </si>
  <si>
    <t>Combustion Emissions Calculations - Proposed Operating Scenario (prior to installation of Boiler 3)</t>
  </si>
  <si>
    <t>Annual Emission Calculation - Paved Roads (FS001 / FUG1)</t>
  </si>
  <si>
    <t>Annual Emission Calculation - Unpaved Staging Area (FS002 / FUG2)</t>
  </si>
  <si>
    <t>Propane sulfur content from Santa Barbara County Air Pollution Control District Engineering Division Application Processing and Calculations - SOx Emission Factors for Gaseous Fuels (v. 1.0, 1/31/97) [http://www.ourair.org/wp-content/uploads/sulfur01.pdf]</t>
  </si>
  <si>
    <t xml:space="preserve">Low-NOx burner emission factors: 30 ppm for natural gas and propane; 80 ppm for fuel oil no. 2 and RAFVO at 3% oxygen. Conversion factors for natural gas and oil from Appendix A of "Output-Based Regulations: A Handbook for Air Regulators," US EPA Combined Heat and Power Partnership, August 2014: http://www.epa.gov/sites/production/files/2015-07/documents/output-based_regulations_a_handbook_for_air_regulators.pdf </t>
  </si>
  <si>
    <t>Sanimax - Fugitive Dust from Haul Roads</t>
  </si>
  <si>
    <t>Red text indicates data that has changed.</t>
  </si>
  <si>
    <t>RAFVO heating values are the default high heat values for rendered animal fat and vegetable oil from 40 CFR Part 98, Table C-1.</t>
  </si>
  <si>
    <t>EQUI 19</t>
  </si>
  <si>
    <t>EQUI 4</t>
  </si>
  <si>
    <t>EQUI 20</t>
  </si>
  <si>
    <t>EQUI 21</t>
  </si>
  <si>
    <t>EQUI 5</t>
  </si>
  <si>
    <t>EQUI 1</t>
  </si>
  <si>
    <t>EQUI 2</t>
  </si>
  <si>
    <t>EQUI 3</t>
  </si>
  <si>
    <t>EQUI 16</t>
  </si>
  <si>
    <t>EQUI 17</t>
  </si>
  <si>
    <t>EQUI 18</t>
  </si>
  <si>
    <t>EQUI 66</t>
  </si>
  <si>
    <t>EQUI 8</t>
  </si>
  <si>
    <t>EQUI 9</t>
  </si>
  <si>
    <t>TREA 26</t>
  </si>
  <si>
    <t>TREA 27</t>
  </si>
  <si>
    <t>TREA 31 / TREA 34</t>
  </si>
  <si>
    <t>TREA 32</t>
  </si>
  <si>
    <t>TREA 33</t>
  </si>
  <si>
    <t>TREA 29</t>
  </si>
  <si>
    <t>TREA 28</t>
  </si>
  <si>
    <t>TREA 35</t>
  </si>
  <si>
    <t>TREA 30</t>
  </si>
  <si>
    <t>STRU 14</t>
  </si>
  <si>
    <t>STRU 21</t>
  </si>
  <si>
    <t>STRU 22</t>
  </si>
  <si>
    <t>STRU 19</t>
  </si>
  <si>
    <t>STRU 25</t>
  </si>
  <si>
    <t>STRU 26</t>
  </si>
  <si>
    <t>STRU 27</t>
  </si>
  <si>
    <t>STRU 24</t>
  </si>
  <si>
    <t>STRU 20</t>
  </si>
  <si>
    <t>STRU 15</t>
  </si>
  <si>
    <t>EQUI 10</t>
  </si>
  <si>
    <t>STRU 16</t>
  </si>
  <si>
    <t xml:space="preserve"> Blood/Ring Dryer - EQUI 4 (STRU 21)</t>
  </si>
  <si>
    <t>EQUI 4        Dryer          Fuels: Distillate (#2) Oil, Natural Gas, Propane</t>
  </si>
  <si>
    <t>Boiler No. 2 - EQUI 5 (STRU 25)</t>
  </si>
  <si>
    <t>EQUI 5        Boiler 2         Fuels:         Distillate (#2) Fuel Oil, Natural Gas, Propane</t>
  </si>
  <si>
    <t>Boiler No. 3 - EQUI 10 / CE (STRU 16)</t>
  </si>
  <si>
    <t>EQUI 10        Boiler 3         Fuels:         Distillate (#2) Fuel Oil, Natural Gas, RAFVO</t>
  </si>
  <si>
    <t>Boiler No. 1 - EQUI 19 (STRU 14)</t>
  </si>
  <si>
    <t>EQUI 19        Boiler 1         Fuels:         Distillate (#2) Fuel Oil, Natural Gas, RAFVO</t>
  </si>
  <si>
    <t>EQUI 19       Boiler 1         Fuels:         Distillate (#2) and Residual (#6) Fuel Oil,  Natural Gas, Refined Animal Fats and Vegetable Oils</t>
  </si>
  <si>
    <t>EQUI 4        Dryer          Fuels: Distillate (#2) Oil, Natural Gas</t>
  </si>
  <si>
    <t>EQUI 5        Boiler 2         Fuels:         Distillate (#2) Fuel Oil,  Natural Gas</t>
  </si>
  <si>
    <t>Blood/Ring Dryer - EQUI 4 (STRU 21)</t>
  </si>
  <si>
    <t>Protein Recovery Facility (PRF) - EQUI 20 (STRU 22)</t>
  </si>
  <si>
    <t>Blood Pneumatic Conveying System - EQUI 21 (STRU 19)</t>
  </si>
  <si>
    <t>Protein Silos (EQUI 1 &amp; EQUI 2)</t>
  </si>
  <si>
    <t>Silo EQUI 1 (STRU 26)</t>
  </si>
  <si>
    <t>Silo EQUI 2 (STRU 27)</t>
  </si>
  <si>
    <t>Cooking Process - EQUI 3, EQUI 16 and EQUI 17 (STRU 24)</t>
  </si>
  <si>
    <t>Milling Process - EQUI 3</t>
  </si>
  <si>
    <t>Cooker No. 1 - EQUI 16</t>
  </si>
  <si>
    <t>Cooker No. 2 - EQUI 17</t>
  </si>
  <si>
    <t>Feather Pneumatic Conveying System - EQUI 18 (STRU 20)</t>
  </si>
  <si>
    <t>PPF Process - EQUI 66, EQUI 8 and EQUI 9 (STRU 15)</t>
  </si>
  <si>
    <t>PPF Cooking Process - EQUI 66</t>
  </si>
  <si>
    <t>PPF Pressing Process - EQUI 8</t>
  </si>
  <si>
    <t>PPF Milling Process - EQUI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</si>
</sst>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00"/>
    <numFmt numFmtId="165" formatCode="#,##0.000"/>
    <numFmt numFmtId="166" formatCode="0.0%"/>
    <numFmt numFmtId="167" formatCode="#,##0.0"/>
    <numFmt numFmtId="168" formatCode="0.0000"/>
    <numFmt numFmtId="169" formatCode="0.00000"/>
    <numFmt numFmtId="170" formatCode="0.000000"/>
    <numFmt numFmtId="171" formatCode="0.000E+00"/>
    <numFmt numFmtId="172" formatCode="0.0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sz val="14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b/>
      <vertAlign val="superscript"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vertAlign val="subscript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 tint="-0.249977111117893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name val="MS Mincho"/>
      <family val="3"/>
      <charset val="128"/>
    </font>
    <font>
      <sz val="10"/>
      <name val="MS Mincho"/>
      <family val="3"/>
    </font>
    <font>
      <sz val="10"/>
      <color rgb="FFFF0000"/>
      <name val="Arial"/>
      <family val="2"/>
    </font>
    <font>
      <vertAlign val="subscript"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vertAlign val="subscript"/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9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7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2" fillId="2" borderId="20" xfId="2" applyNumberFormat="1" applyFont="1" applyFill="1" applyBorder="1" applyAlignment="1">
      <alignment horizontal="center"/>
    </xf>
    <xf numFmtId="2" fontId="2" fillId="2" borderId="5" xfId="2" applyNumberFormat="1" applyFont="1" applyFill="1" applyBorder="1" applyAlignment="1">
      <alignment horizontal="center"/>
    </xf>
    <xf numFmtId="2" fontId="2" fillId="2" borderId="12" xfId="2" applyNumberFormat="1" applyFont="1" applyFill="1" applyBorder="1" applyAlignment="1">
      <alignment horizontal="center"/>
    </xf>
    <xf numFmtId="2" fontId="2" fillId="2" borderId="8" xfId="2" applyNumberFormat="1" applyFont="1" applyFill="1" applyBorder="1" applyAlignment="1">
      <alignment horizontal="center"/>
    </xf>
    <xf numFmtId="0" fontId="2" fillId="2" borderId="19" xfId="2" applyFont="1" applyFill="1" applyBorder="1" applyAlignment="1">
      <alignment horizontal="center"/>
    </xf>
    <xf numFmtId="0" fontId="2" fillId="2" borderId="20" xfId="2" applyFont="1" applyFill="1" applyBorder="1" applyAlignment="1">
      <alignment horizontal="center"/>
    </xf>
    <xf numFmtId="0" fontId="2" fillId="2" borderId="21" xfId="2" applyFont="1" applyFill="1" applyBorder="1" applyAlignment="1">
      <alignment horizontal="center" wrapText="1"/>
    </xf>
    <xf numFmtId="0" fontId="2" fillId="2" borderId="22" xfId="2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0" xfId="0" quotePrefix="1" applyNumberFormat="1" applyBorder="1" applyAlignment="1">
      <alignment horizontal="center"/>
    </xf>
    <xf numFmtId="0" fontId="2" fillId="0" borderId="23" xfId="0" applyFont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quotePrefix="1" applyNumberFormat="1" applyBorder="1" applyAlignment="1">
      <alignment horizontal="center"/>
    </xf>
    <xf numFmtId="0" fontId="2" fillId="0" borderId="24" xfId="0" applyFont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0" quotePrefix="1" applyNumberForma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 shrinkToFit="1"/>
    </xf>
    <xf numFmtId="0" fontId="8" fillId="0" borderId="28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/>
    <xf numFmtId="2" fontId="8" fillId="0" borderId="19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9" xfId="0" applyFont="1" applyBorder="1" applyAlignment="1">
      <alignment horizontal="center" wrapText="1"/>
    </xf>
    <xf numFmtId="4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0" xfId="0" applyNumberFormat="1" applyFont="1"/>
    <xf numFmtId="2" fontId="2" fillId="2" borderId="19" xfId="0" applyNumberFormat="1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165" fontId="8" fillId="0" borderId="0" xfId="0" applyNumberFormat="1" applyFont="1"/>
    <xf numFmtId="0" fontId="8" fillId="0" borderId="0" xfId="0" applyFont="1" applyAlignment="1">
      <alignment horizontal="center" wrapText="1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0" fillId="0" borderId="5" xfId="0" quotePrefix="1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0" fillId="0" borderId="0" xfId="0" quotePrefix="1" applyNumberFormat="1" applyBorder="1" applyAlignment="1">
      <alignment horizontal="center"/>
    </xf>
    <xf numFmtId="0" fontId="10" fillId="0" borderId="0" xfId="0" applyFont="1" applyBorder="1" applyAlignment="1">
      <alignment horizontal="left"/>
    </xf>
    <xf numFmtId="164" fontId="0" fillId="2" borderId="20" xfId="0" applyNumberFormat="1" applyFill="1" applyBorder="1" applyAlignment="1">
      <alignment horizontal="center"/>
    </xf>
    <xf numFmtId="9" fontId="0" fillId="2" borderId="30" xfId="0" applyNumberFormat="1" applyFill="1" applyBorder="1" applyAlignment="1">
      <alignment horizontal="center"/>
    </xf>
    <xf numFmtId="166" fontId="0" fillId="0" borderId="19" xfId="0" applyNumberFormat="1" applyFill="1" applyBorder="1" applyAlignment="1">
      <alignment horizontal="center"/>
    </xf>
    <xf numFmtId="164" fontId="0" fillId="0" borderId="30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9" fontId="0" fillId="2" borderId="31" xfId="0" applyNumberFormat="1" applyFill="1" applyBorder="1" applyAlignment="1">
      <alignment horizontal="center"/>
    </xf>
    <xf numFmtId="166" fontId="0" fillId="0" borderId="11" xfId="0" applyNumberFormat="1" applyFill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9" fontId="0" fillId="2" borderId="32" xfId="0" applyNumberFormat="1" applyFill="1" applyBorder="1" applyAlignment="1">
      <alignment horizontal="center"/>
    </xf>
    <xf numFmtId="166" fontId="0" fillId="0" borderId="12" xfId="0" applyNumberFormat="1" applyFill="1" applyBorder="1" applyAlignment="1">
      <alignment horizontal="center"/>
    </xf>
    <xf numFmtId="164" fontId="0" fillId="0" borderId="3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quotePrefix="1" applyNumberFormat="1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2" fontId="0" fillId="0" borderId="20" xfId="0" quotePrefix="1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5" xfId="0" quotePrefix="1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8" xfId="0" quotePrefix="1" applyNumberForma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 shrinkToFit="1"/>
    </xf>
    <xf numFmtId="0" fontId="8" fillId="0" borderId="28" xfId="0" applyFont="1" applyFill="1" applyBorder="1" applyAlignment="1">
      <alignment horizontal="center"/>
    </xf>
    <xf numFmtId="0" fontId="0" fillId="0" borderId="0" xfId="0" applyFill="1"/>
    <xf numFmtId="0" fontId="10" fillId="0" borderId="0" xfId="0" applyFont="1" applyAlignment="1">
      <alignment horizontal="left" wrapText="1"/>
    </xf>
    <xf numFmtId="11" fontId="0" fillId="0" borderId="5" xfId="0" applyNumberFormat="1" applyFill="1" applyBorder="1" applyAlignment="1">
      <alignment horizontal="center"/>
    </xf>
    <xf numFmtId="2" fontId="0" fillId="0" borderId="0" xfId="0" applyNumberFormat="1"/>
    <xf numFmtId="0" fontId="8" fillId="0" borderId="0" xfId="0" applyFont="1" applyBorder="1"/>
    <xf numFmtId="11" fontId="8" fillId="0" borderId="5" xfId="0" applyNumberFormat="1" applyFont="1" applyFill="1" applyBorder="1" applyAlignment="1">
      <alignment horizontal="center"/>
    </xf>
    <xf numFmtId="11" fontId="0" fillId="0" borderId="61" xfId="0" applyNumberFormat="1" applyFill="1" applyBorder="1" applyAlignment="1">
      <alignment horizontal="center"/>
    </xf>
    <xf numFmtId="0" fontId="8" fillId="0" borderId="0" xfId="0" applyFont="1" applyFill="1" applyBorder="1"/>
    <xf numFmtId="11" fontId="8" fillId="0" borderId="5" xfId="0" applyNumberFormat="1" applyFont="1" applyBorder="1" applyAlignment="1">
      <alignment horizontal="center"/>
    </xf>
    <xf numFmtId="0" fontId="0" fillId="0" borderId="0" xfId="0" applyBorder="1"/>
    <xf numFmtId="168" fontId="0" fillId="0" borderId="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2" fillId="2" borderId="3" xfId="2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/>
    </xf>
    <xf numFmtId="169" fontId="0" fillId="0" borderId="0" xfId="0" applyNumberFormat="1"/>
    <xf numFmtId="0" fontId="0" fillId="0" borderId="3" xfId="0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2" fillId="0" borderId="78" xfId="0" applyFont="1" applyBorder="1" applyAlignment="1">
      <alignment horizontal="center"/>
    </xf>
    <xf numFmtId="2" fontId="2" fillId="2" borderId="14" xfId="2" applyNumberFormat="1" applyFont="1" applyFill="1" applyBorder="1" applyAlignment="1">
      <alignment horizontal="center"/>
    </xf>
    <xf numFmtId="2" fontId="2" fillId="2" borderId="13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64" fontId="0" fillId="0" borderId="20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8" fillId="0" borderId="0" xfId="0" applyNumberFormat="1" applyFont="1" applyBorder="1"/>
    <xf numFmtId="2" fontId="0" fillId="0" borderId="0" xfId="0" applyNumberFormat="1" applyBorder="1"/>
    <xf numFmtId="11" fontId="8" fillId="0" borderId="0" xfId="0" applyNumberFormat="1" applyFont="1" applyBorder="1"/>
    <xf numFmtId="2" fontId="8" fillId="0" borderId="0" xfId="0" applyNumberFormat="1" applyFont="1" applyBorder="1"/>
    <xf numFmtId="43" fontId="0" fillId="0" borderId="0" xfId="1" applyFont="1" applyBorder="1"/>
    <xf numFmtId="0" fontId="15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right"/>
    </xf>
    <xf numFmtId="43" fontId="8" fillId="0" borderId="0" xfId="1" applyFont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11" fontId="0" fillId="4" borderId="5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11" fontId="8" fillId="4" borderId="5" xfId="0" applyNumberFormat="1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Fill="1" applyAlignment="1">
      <alignment horizontal="center"/>
    </xf>
    <xf numFmtId="0" fontId="1" fillId="0" borderId="0" xfId="0" applyFont="1" applyBorder="1"/>
    <xf numFmtId="0" fontId="2" fillId="0" borderId="16" xfId="0" applyFont="1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5" applyFont="1" applyBorder="1"/>
    <xf numFmtId="0" fontId="2" fillId="0" borderId="0" xfId="5" applyFont="1" applyFill="1" applyBorder="1"/>
    <xf numFmtId="0" fontId="1" fillId="0" borderId="0" xfId="5" applyFill="1" applyBorder="1"/>
    <xf numFmtId="0" fontId="1" fillId="0" borderId="0" xfId="5" applyBorder="1"/>
    <xf numFmtId="164" fontId="1" fillId="0" borderId="0" xfId="5" applyNumberFormat="1" applyFont="1" applyBorder="1"/>
    <xf numFmtId="0" fontId="1" fillId="0" borderId="0" xfId="5" applyNumberFormat="1" applyFont="1" applyBorder="1"/>
    <xf numFmtId="0" fontId="2" fillId="0" borderId="5" xfId="5" applyFont="1" applyBorder="1" applyAlignment="1">
      <alignment horizontal="center" wrapText="1"/>
    </xf>
    <xf numFmtId="0" fontId="2" fillId="0" borderId="0" xfId="5" applyFont="1" applyBorder="1"/>
    <xf numFmtId="0" fontId="2" fillId="0" borderId="0" xfId="5" applyFont="1" applyFill="1" applyBorder="1" applyAlignment="1">
      <alignment horizontal="center" wrapText="1"/>
    </xf>
    <xf numFmtId="0" fontId="1" fillId="0" borderId="5" xfId="5" applyFont="1" applyFill="1" applyBorder="1"/>
    <xf numFmtId="11" fontId="1" fillId="0" borderId="5" xfId="5" applyNumberFormat="1" applyFill="1" applyBorder="1" applyAlignment="1">
      <alignment horizontal="center"/>
    </xf>
    <xf numFmtId="11" fontId="1" fillId="4" borderId="5" xfId="5" applyNumberFormat="1" applyFill="1" applyBorder="1" applyAlignment="1">
      <alignment horizontal="center"/>
    </xf>
    <xf numFmtId="2" fontId="1" fillId="0" borderId="0" xfId="5" applyNumberFormat="1" applyBorder="1"/>
    <xf numFmtId="11" fontId="1" fillId="4" borderId="5" xfId="5" applyNumberFormat="1" applyFont="1" applyFill="1" applyBorder="1" applyAlignment="1">
      <alignment horizontal="center"/>
    </xf>
    <xf numFmtId="11" fontId="1" fillId="0" borderId="5" xfId="5" applyNumberFormat="1" applyFont="1" applyFill="1" applyBorder="1" applyAlignment="1">
      <alignment horizontal="center"/>
    </xf>
    <xf numFmtId="11" fontId="1" fillId="0" borderId="0" xfId="5" applyNumberFormat="1" applyFont="1" applyBorder="1"/>
    <xf numFmtId="2" fontId="1" fillId="0" borderId="0" xfId="5" applyNumberFormat="1" applyFont="1" applyBorder="1"/>
    <xf numFmtId="0" fontId="2" fillId="0" borderId="5" xfId="5" applyFont="1" applyFill="1" applyBorder="1"/>
    <xf numFmtId="2" fontId="1" fillId="4" borderId="5" xfId="5" applyNumberFormat="1" applyFill="1" applyBorder="1" applyAlignment="1">
      <alignment horizontal="center"/>
    </xf>
    <xf numFmtId="2" fontId="2" fillId="4" borderId="5" xfId="5" applyNumberFormat="1" applyFont="1" applyFill="1" applyBorder="1" applyAlignment="1">
      <alignment horizontal="center"/>
    </xf>
    <xf numFmtId="11" fontId="2" fillId="4" borderId="5" xfId="5" applyNumberFormat="1" applyFont="1" applyFill="1" applyBorder="1" applyAlignment="1">
      <alignment horizontal="center"/>
    </xf>
    <xf numFmtId="2" fontId="1" fillId="4" borderId="5" xfId="5" applyNumberFormat="1" applyFont="1" applyFill="1" applyBorder="1" applyAlignment="1">
      <alignment horizontal="center"/>
    </xf>
    <xf numFmtId="2" fontId="2" fillId="0" borderId="0" xfId="5" applyNumberFormat="1" applyFont="1" applyBorder="1"/>
    <xf numFmtId="3" fontId="1" fillId="4" borderId="5" xfId="5" applyNumberFormat="1" applyFill="1" applyBorder="1" applyAlignment="1">
      <alignment horizontal="center"/>
    </xf>
    <xf numFmtId="3" fontId="2" fillId="4" borderId="5" xfId="5" applyNumberFormat="1" applyFont="1" applyFill="1" applyBorder="1" applyAlignment="1">
      <alignment horizontal="center"/>
    </xf>
    <xf numFmtId="167" fontId="1" fillId="0" borderId="0" xfId="5" applyNumberFormat="1" applyFill="1" applyBorder="1" applyAlignment="1">
      <alignment horizontal="center"/>
    </xf>
    <xf numFmtId="2" fontId="1" fillId="0" borderId="0" xfId="5" applyNumberFormat="1" applyFill="1" applyBorder="1" applyAlignment="1">
      <alignment horizontal="center"/>
    </xf>
    <xf numFmtId="0" fontId="1" fillId="0" borderId="0" xfId="5" applyNumberFormat="1" applyBorder="1"/>
    <xf numFmtId="164" fontId="1" fillId="4" borderId="5" xfId="5" applyNumberFormat="1" applyFill="1" applyBorder="1" applyAlignment="1">
      <alignment horizontal="center"/>
    </xf>
    <xf numFmtId="11" fontId="1" fillId="0" borderId="5" xfId="5" quotePrefix="1" applyNumberFormat="1" applyFont="1" applyFill="1" applyBorder="1" applyAlignment="1">
      <alignment horizontal="center"/>
    </xf>
    <xf numFmtId="0" fontId="1" fillId="0" borderId="0" xfId="5" applyFont="1" applyFill="1" applyBorder="1"/>
    <xf numFmtId="0" fontId="16" fillId="0" borderId="0" xfId="5" applyFont="1" applyBorder="1"/>
    <xf numFmtId="168" fontId="1" fillId="0" borderId="0" xfId="5" applyNumberFormat="1" applyBorder="1" applyAlignment="1">
      <alignment horizontal="center"/>
    </xf>
    <xf numFmtId="11" fontId="1" fillId="0" borderId="5" xfId="5" applyNumberFormat="1" applyBorder="1" applyAlignment="1">
      <alignment horizontal="center" wrapText="1"/>
    </xf>
    <xf numFmtId="11" fontId="1" fillId="4" borderId="5" xfId="5" applyNumberFormat="1" applyFill="1" applyBorder="1" applyAlignment="1">
      <alignment horizontal="center" wrapText="1"/>
    </xf>
    <xf numFmtId="0" fontId="1" fillId="0" borderId="5" xfId="5" applyFont="1" applyBorder="1"/>
    <xf numFmtId="11" fontId="1" fillId="0" borderId="5" xfId="5" applyNumberFormat="1" applyFont="1" applyBorder="1" applyAlignment="1">
      <alignment horizontal="center" wrapText="1"/>
    </xf>
    <xf numFmtId="11" fontId="1" fillId="4" borderId="5" xfId="5" applyNumberFormat="1" applyFont="1" applyFill="1" applyBorder="1" applyAlignment="1">
      <alignment horizontal="center" wrapText="1"/>
    </xf>
    <xf numFmtId="2" fontId="1" fillId="0" borderId="5" xfId="5" applyNumberFormat="1" applyBorder="1" applyAlignment="1">
      <alignment horizontal="center"/>
    </xf>
    <xf numFmtId="4" fontId="1" fillId="4" borderId="5" xfId="5" applyNumberFormat="1" applyFill="1" applyBorder="1" applyAlignment="1">
      <alignment horizontal="center"/>
    </xf>
    <xf numFmtId="2" fontId="1" fillId="0" borderId="0" xfId="5" applyNumberFormat="1" applyBorder="1" applyAlignment="1">
      <alignment horizontal="center"/>
    </xf>
    <xf numFmtId="4" fontId="2" fillId="4" borderId="5" xfId="5" applyNumberFormat="1" applyFont="1" applyFill="1" applyBorder="1" applyAlignment="1">
      <alignment horizontal="center"/>
    </xf>
    <xf numFmtId="11" fontId="1" fillId="0" borderId="5" xfId="5" applyNumberFormat="1" applyFont="1" applyBorder="1" applyAlignment="1">
      <alignment horizontal="center"/>
    </xf>
    <xf numFmtId="0" fontId="15" fillId="0" borderId="0" xfId="5" applyFont="1" applyBorder="1" applyAlignment="1">
      <alignment horizontal="left"/>
    </xf>
    <xf numFmtId="2" fontId="2" fillId="0" borderId="0" xfId="5" applyNumberFormat="1" applyFont="1" applyBorder="1" applyAlignment="1">
      <alignment horizontal="right"/>
    </xf>
    <xf numFmtId="43" fontId="1" fillId="0" borderId="0" xfId="1" applyFont="1" applyBorder="1" applyAlignment="1">
      <alignment horizontal="center"/>
    </xf>
    <xf numFmtId="3" fontId="1" fillId="4" borderId="5" xfId="5" applyNumberFormat="1" applyFont="1" applyFill="1" applyBorder="1" applyAlignment="1">
      <alignment horizontal="center"/>
    </xf>
    <xf numFmtId="0" fontId="1" fillId="0" borderId="0" xfId="5" applyFont="1" applyBorder="1" applyAlignment="1">
      <alignment horizontal="center" vertical="center" wrapText="1"/>
    </xf>
    <xf numFmtId="11" fontId="1" fillId="0" borderId="0" xfId="5" applyNumberFormat="1" applyFill="1" applyBorder="1"/>
    <xf numFmtId="168" fontId="1" fillId="0" borderId="0" xfId="5" applyNumberFormat="1" applyFill="1" applyBorder="1" applyAlignment="1">
      <alignment horizontal="center"/>
    </xf>
    <xf numFmtId="164" fontId="1" fillId="0" borderId="0" xfId="5" applyNumberFormat="1" applyFill="1" applyBorder="1" applyAlignment="1">
      <alignment horizontal="center"/>
    </xf>
    <xf numFmtId="0" fontId="1" fillId="0" borderId="0" xfId="5"/>
    <xf numFmtId="11" fontId="1" fillId="0" borderId="0" xfId="5" applyNumberFormat="1" applyFont="1" applyFill="1" applyBorder="1"/>
    <xf numFmtId="11" fontId="1" fillId="0" borderId="0" xfId="5" applyNumberFormat="1" applyBorder="1" applyAlignment="1">
      <alignment horizontal="center" wrapText="1"/>
    </xf>
    <xf numFmtId="167" fontId="1" fillId="0" borderId="0" xfId="5" applyNumberFormat="1" applyBorder="1" applyAlignment="1">
      <alignment horizontal="center"/>
    </xf>
    <xf numFmtId="0" fontId="1" fillId="3" borderId="0" xfId="5" applyFont="1" applyFill="1" applyBorder="1" applyAlignment="1">
      <alignment vertical="center"/>
    </xf>
    <xf numFmtId="0" fontId="1" fillId="0" borderId="0" xfId="5" applyFont="1" applyBorder="1" applyAlignment="1">
      <alignment vertical="center"/>
    </xf>
    <xf numFmtId="0" fontId="1" fillId="0" borderId="0" xfId="5" applyBorder="1" applyAlignment="1">
      <alignment horizontal="center" vertical="center" wrapText="1"/>
    </xf>
    <xf numFmtId="0" fontId="2" fillId="0" borderId="0" xfId="5" applyFont="1"/>
    <xf numFmtId="0" fontId="1" fillId="0" borderId="0" xfId="5" applyFont="1"/>
    <xf numFmtId="2" fontId="1" fillId="0" borderId="0" xfId="5" applyNumberFormat="1" applyFont="1"/>
    <xf numFmtId="168" fontId="1" fillId="0" borderId="0" xfId="5" applyNumberFormat="1" applyFont="1" applyFill="1" applyBorder="1" applyAlignment="1">
      <alignment horizontal="center"/>
    </xf>
    <xf numFmtId="168" fontId="1" fillId="0" borderId="0" xfId="5" applyNumberFormat="1" applyFont="1" applyFill="1" applyBorder="1" applyAlignment="1">
      <alignment horizontal="left"/>
    </xf>
    <xf numFmtId="164" fontId="1" fillId="0" borderId="0" xfId="5" applyNumberFormat="1" applyFont="1" applyFill="1" applyBorder="1" applyAlignment="1">
      <alignment horizontal="center"/>
    </xf>
    <xf numFmtId="2" fontId="1" fillId="0" borderId="0" xfId="5" applyNumberFormat="1" applyFont="1" applyFill="1" applyBorder="1" applyAlignment="1">
      <alignment horizontal="center"/>
    </xf>
    <xf numFmtId="167" fontId="1" fillId="0" borderId="0" xfId="5" applyNumberFormat="1" applyFont="1" applyFill="1" applyBorder="1" applyAlignment="1">
      <alignment horizontal="center"/>
    </xf>
    <xf numFmtId="0" fontId="1" fillId="0" borderId="53" xfId="5" applyBorder="1" applyAlignment="1">
      <alignment horizontal="center" wrapText="1"/>
    </xf>
    <xf numFmtId="0" fontId="1" fillId="0" borderId="71" xfId="5" applyBorder="1" applyAlignment="1">
      <alignment horizontal="center" wrapText="1"/>
    </xf>
    <xf numFmtId="0" fontId="1" fillId="0" borderId="56" xfId="5" applyFill="1" applyBorder="1" applyAlignment="1">
      <alignment horizontal="center" wrapText="1"/>
    </xf>
    <xf numFmtId="0" fontId="1" fillId="0" borderId="56" xfId="5" applyBorder="1" applyAlignment="1">
      <alignment horizontal="center" wrapText="1"/>
    </xf>
    <xf numFmtId="0" fontId="1" fillId="0" borderId="55" xfId="5" applyFont="1" applyBorder="1" applyAlignment="1">
      <alignment horizontal="center" wrapText="1"/>
    </xf>
    <xf numFmtId="0" fontId="1" fillId="0" borderId="54" xfId="5" applyFont="1" applyBorder="1" applyAlignment="1">
      <alignment horizontal="center" wrapText="1"/>
    </xf>
    <xf numFmtId="0" fontId="1" fillId="0" borderId="56" xfId="5" applyFont="1" applyBorder="1" applyAlignment="1">
      <alignment horizontal="center" wrapText="1"/>
    </xf>
    <xf numFmtId="0" fontId="1" fillId="0" borderId="57" xfId="5" applyFont="1" applyBorder="1" applyAlignment="1">
      <alignment horizontal="center" wrapText="1"/>
    </xf>
    <xf numFmtId="0" fontId="1" fillId="0" borderId="73" xfId="5" applyFont="1" applyFill="1" applyBorder="1"/>
    <xf numFmtId="11" fontId="1" fillId="0" borderId="8" xfId="5" applyNumberFormat="1" applyBorder="1" applyAlignment="1">
      <alignment horizontal="center" wrapText="1"/>
    </xf>
    <xf numFmtId="11" fontId="1" fillId="0" borderId="8" xfId="5" applyNumberFormat="1" applyFont="1" applyBorder="1" applyAlignment="1">
      <alignment horizontal="center" wrapText="1"/>
    </xf>
    <xf numFmtId="11" fontId="1" fillId="0" borderId="8" xfId="5" applyNumberFormat="1" applyBorder="1" applyAlignment="1">
      <alignment horizontal="center"/>
    </xf>
    <xf numFmtId="11" fontId="1" fillId="0" borderId="67" xfId="5" applyNumberFormat="1" applyBorder="1" applyAlignment="1">
      <alignment horizontal="center"/>
    </xf>
    <xf numFmtId="0" fontId="1" fillId="0" borderId="72" xfId="5" applyFont="1" applyFill="1" applyBorder="1"/>
    <xf numFmtId="11" fontId="1" fillId="0" borderId="5" xfId="5" applyNumberFormat="1" applyBorder="1" applyAlignment="1">
      <alignment horizontal="center"/>
    </xf>
    <xf numFmtId="11" fontId="1" fillId="0" borderId="59" xfId="5" applyNumberFormat="1" applyBorder="1" applyAlignment="1">
      <alignment horizontal="center"/>
    </xf>
    <xf numFmtId="11" fontId="1" fillId="0" borderId="59" xfId="5" applyNumberFormat="1" applyFill="1" applyBorder="1" applyAlignment="1">
      <alignment horizontal="center"/>
    </xf>
    <xf numFmtId="0" fontId="1" fillId="0" borderId="0" xfId="5" applyFont="1" applyBorder="1" applyAlignment="1">
      <alignment horizontal="left" wrapText="1"/>
    </xf>
    <xf numFmtId="2" fontId="1" fillId="0" borderId="0" xfId="5" applyNumberFormat="1"/>
    <xf numFmtId="11" fontId="1" fillId="0" borderId="59" xfId="5" applyNumberFormat="1" applyFont="1" applyBorder="1" applyAlignment="1">
      <alignment horizontal="center"/>
    </xf>
    <xf numFmtId="11" fontId="1" fillId="0" borderId="0" xfId="5" applyNumberFormat="1" applyFont="1"/>
    <xf numFmtId="0" fontId="2" fillId="0" borderId="72" xfId="5" applyFont="1" applyFill="1" applyBorder="1"/>
    <xf numFmtId="2" fontId="2" fillId="3" borderId="74" xfId="5" applyNumberFormat="1" applyFont="1" applyFill="1" applyBorder="1" applyAlignment="1">
      <alignment horizontal="center"/>
    </xf>
    <xf numFmtId="2" fontId="2" fillId="3" borderId="59" xfId="5" applyNumberFormat="1" applyFont="1" applyFill="1" applyBorder="1" applyAlignment="1">
      <alignment horizontal="center"/>
    </xf>
    <xf numFmtId="11" fontId="2" fillId="0" borderId="0" xfId="5" applyNumberFormat="1" applyFont="1"/>
    <xf numFmtId="2" fontId="2" fillId="0" borderId="0" xfId="5" applyNumberFormat="1" applyFont="1"/>
    <xf numFmtId="11" fontId="1" fillId="0" borderId="8" xfId="5" applyNumberFormat="1" applyFill="1" applyBorder="1" applyAlignment="1">
      <alignment horizontal="center" wrapText="1"/>
    </xf>
    <xf numFmtId="11" fontId="1" fillId="0" borderId="5" xfId="5" applyNumberFormat="1" applyFill="1" applyBorder="1" applyAlignment="1">
      <alignment horizontal="center" wrapText="1"/>
    </xf>
    <xf numFmtId="2" fontId="1" fillId="0" borderId="5" xfId="5" applyNumberFormat="1" applyFill="1" applyBorder="1" applyAlignment="1">
      <alignment horizontal="center"/>
    </xf>
    <xf numFmtId="0" fontId="2" fillId="0" borderId="75" xfId="5" applyFont="1" applyFill="1" applyBorder="1"/>
    <xf numFmtId="11" fontId="1" fillId="0" borderId="3" xfId="5" applyNumberFormat="1" applyFont="1" applyFill="1" applyBorder="1" applyAlignment="1">
      <alignment horizontal="center"/>
    </xf>
    <xf numFmtId="11" fontId="1" fillId="0" borderId="3" xfId="5" applyNumberFormat="1" applyFill="1" applyBorder="1" applyAlignment="1">
      <alignment horizontal="center"/>
    </xf>
    <xf numFmtId="11" fontId="1" fillId="0" borderId="3" xfId="5" applyNumberFormat="1" applyBorder="1" applyAlignment="1">
      <alignment horizontal="center" wrapText="1"/>
    </xf>
    <xf numFmtId="2" fontId="1" fillId="0" borderId="3" xfId="5" applyNumberFormat="1" applyBorder="1" applyAlignment="1">
      <alignment horizontal="center"/>
    </xf>
    <xf numFmtId="2" fontId="2" fillId="3" borderId="62" xfId="5" applyNumberFormat="1" applyFont="1" applyFill="1" applyBorder="1" applyAlignment="1">
      <alignment horizontal="center"/>
    </xf>
    <xf numFmtId="0" fontId="2" fillId="0" borderId="63" xfId="5" applyFont="1" applyFill="1" applyBorder="1"/>
    <xf numFmtId="11" fontId="1" fillId="0" borderId="64" xfId="5" applyNumberFormat="1" applyFill="1" applyBorder="1" applyAlignment="1">
      <alignment horizontal="center"/>
    </xf>
    <xf numFmtId="11" fontId="1" fillId="0" borderId="64" xfId="5" applyNumberFormat="1" applyBorder="1" applyAlignment="1">
      <alignment horizontal="center" wrapText="1"/>
    </xf>
    <xf numFmtId="4" fontId="1" fillId="0" borderId="64" xfId="5" applyNumberFormat="1" applyBorder="1" applyAlignment="1">
      <alignment horizontal="center"/>
    </xf>
    <xf numFmtId="4" fontId="2" fillId="3" borderId="65" xfId="5" applyNumberFormat="1" applyFont="1" applyFill="1" applyBorder="1" applyAlignment="1">
      <alignment horizontal="center"/>
    </xf>
    <xf numFmtId="0" fontId="2" fillId="0" borderId="66" xfId="5" applyFont="1" applyFill="1" applyBorder="1"/>
    <xf numFmtId="4" fontId="1" fillId="0" borderId="5" xfId="5" applyNumberFormat="1" applyBorder="1" applyAlignment="1">
      <alignment horizontal="center"/>
    </xf>
    <xf numFmtId="4" fontId="2" fillId="3" borderId="59" xfId="5" applyNumberFormat="1" applyFont="1" applyFill="1" applyBorder="1" applyAlignment="1">
      <alignment horizontal="center"/>
    </xf>
    <xf numFmtId="0" fontId="2" fillId="0" borderId="69" xfId="5" applyFont="1" applyFill="1" applyBorder="1"/>
    <xf numFmtId="11" fontId="1" fillId="0" borderId="61" xfId="5" applyNumberFormat="1" applyFont="1" applyFill="1" applyBorder="1" applyAlignment="1">
      <alignment horizontal="center"/>
    </xf>
    <xf numFmtId="11" fontId="1" fillId="0" borderId="61" xfId="5" applyNumberFormat="1" applyFill="1" applyBorder="1" applyAlignment="1">
      <alignment horizontal="center"/>
    </xf>
    <xf numFmtId="4" fontId="1" fillId="0" borderId="61" xfId="5" applyNumberFormat="1" applyBorder="1" applyAlignment="1">
      <alignment horizontal="center"/>
    </xf>
    <xf numFmtId="4" fontId="2" fillId="3" borderId="70" xfId="5" applyNumberFormat="1" applyFont="1" applyFill="1" applyBorder="1" applyAlignment="1">
      <alignment horizontal="center"/>
    </xf>
    <xf numFmtId="0" fontId="1" fillId="0" borderId="56" xfId="5" applyFont="1" applyFill="1" applyBorder="1" applyAlignment="1">
      <alignment horizontal="center" wrapText="1"/>
    </xf>
    <xf numFmtId="0" fontId="1" fillId="0" borderId="76" xfId="5" applyFont="1" applyBorder="1" applyAlignment="1">
      <alignment horizontal="center" wrapText="1"/>
    </xf>
    <xf numFmtId="2" fontId="2" fillId="0" borderId="74" xfId="5" applyNumberFormat="1" applyFont="1" applyBorder="1" applyAlignment="1">
      <alignment horizontal="center"/>
    </xf>
    <xf numFmtId="2" fontId="2" fillId="0" borderId="59" xfId="5" applyNumberFormat="1" applyFont="1" applyBorder="1" applyAlignment="1">
      <alignment horizontal="center"/>
    </xf>
    <xf numFmtId="2" fontId="2" fillId="0" borderId="59" xfId="5" applyNumberFormat="1" applyFont="1" applyFill="1" applyBorder="1" applyAlignment="1">
      <alignment horizontal="center"/>
    </xf>
    <xf numFmtId="2" fontId="2" fillId="0" borderId="62" xfId="5" applyNumberFormat="1" applyFont="1" applyBorder="1" applyAlignment="1">
      <alignment horizontal="center"/>
    </xf>
    <xf numFmtId="3" fontId="1" fillId="0" borderId="64" xfId="5" applyNumberFormat="1" applyBorder="1" applyAlignment="1">
      <alignment horizontal="center"/>
    </xf>
    <xf numFmtId="3" fontId="2" fillId="0" borderId="65" xfId="5" applyNumberFormat="1" applyFont="1" applyBorder="1" applyAlignment="1">
      <alignment horizontal="center"/>
    </xf>
    <xf numFmtId="4" fontId="2" fillId="0" borderId="59" xfId="5" applyNumberFormat="1" applyFont="1" applyBorder="1" applyAlignment="1">
      <alignment horizontal="center"/>
    </xf>
    <xf numFmtId="3" fontId="1" fillId="0" borderId="5" xfId="5" applyNumberFormat="1" applyBorder="1" applyAlignment="1">
      <alignment horizontal="center"/>
    </xf>
    <xf numFmtId="3" fontId="2" fillId="0" borderId="59" xfId="5" applyNumberFormat="1" applyFont="1" applyBorder="1" applyAlignment="1">
      <alignment horizontal="center"/>
    </xf>
    <xf numFmtId="3" fontId="1" fillId="0" borderId="61" xfId="5" applyNumberFormat="1" applyBorder="1" applyAlignment="1">
      <alignment horizontal="center"/>
    </xf>
    <xf numFmtId="3" fontId="2" fillId="0" borderId="70" xfId="5" applyNumberFormat="1" applyFont="1" applyBorder="1" applyAlignment="1">
      <alignment horizontal="center"/>
    </xf>
    <xf numFmtId="0" fontId="1" fillId="0" borderId="0" xfId="5" applyBorder="1" applyAlignment="1">
      <alignment horizontal="left" vertical="center"/>
    </xf>
    <xf numFmtId="0" fontId="1" fillId="0" borderId="0" xfId="5" applyFont="1" applyFill="1"/>
    <xf numFmtId="0" fontId="1" fillId="0" borderId="0" xfId="5" applyFill="1"/>
    <xf numFmtId="0" fontId="1" fillId="3" borderId="0" xfId="5" applyFont="1" applyFill="1"/>
    <xf numFmtId="0" fontId="1" fillId="3" borderId="0" xfId="5" applyFill="1"/>
    <xf numFmtId="0" fontId="1" fillId="0" borderId="55" xfId="5" applyBorder="1" applyAlignment="1">
      <alignment horizontal="center" wrapText="1"/>
    </xf>
    <xf numFmtId="0" fontId="1" fillId="0" borderId="6" xfId="5" applyFont="1" applyFill="1" applyBorder="1" applyAlignment="1">
      <alignment horizontal="left" wrapText="1"/>
    </xf>
    <xf numFmtId="0" fontId="1" fillId="0" borderId="6" xfId="5" applyFont="1" applyFill="1" applyBorder="1"/>
    <xf numFmtId="11" fontId="1" fillId="0" borderId="59" xfId="5" applyNumberFormat="1" applyFont="1" applyFill="1" applyBorder="1" applyAlignment="1">
      <alignment horizontal="center"/>
    </xf>
    <xf numFmtId="0" fontId="2" fillId="0" borderId="6" xfId="5" applyFont="1" applyFill="1" applyBorder="1"/>
    <xf numFmtId="11" fontId="2" fillId="0" borderId="59" xfId="5" applyNumberFormat="1" applyFont="1" applyFill="1" applyBorder="1" applyAlignment="1">
      <alignment horizontal="center"/>
    </xf>
    <xf numFmtId="164" fontId="1" fillId="0" borderId="5" xfId="5" applyNumberFormat="1" applyFill="1" applyBorder="1" applyAlignment="1">
      <alignment horizontal="center"/>
    </xf>
    <xf numFmtId="0" fontId="2" fillId="0" borderId="4" xfId="5" applyFont="1" applyFill="1" applyBorder="1"/>
    <xf numFmtId="2" fontId="1" fillId="0" borderId="3" xfId="5" applyNumberFormat="1" applyFill="1" applyBorder="1" applyAlignment="1">
      <alignment horizontal="center"/>
    </xf>
    <xf numFmtId="2" fontId="2" fillId="0" borderId="62" xfId="5" applyNumberFormat="1" applyFont="1" applyFill="1" applyBorder="1" applyAlignment="1">
      <alignment horizontal="center"/>
    </xf>
    <xf numFmtId="3" fontId="1" fillId="0" borderId="64" xfId="5" applyNumberFormat="1" applyFill="1" applyBorder="1" applyAlignment="1">
      <alignment horizontal="center"/>
    </xf>
    <xf numFmtId="3" fontId="2" fillId="0" borderId="65" xfId="5" applyNumberFormat="1" applyFont="1" applyFill="1" applyBorder="1" applyAlignment="1">
      <alignment horizontal="center"/>
    </xf>
    <xf numFmtId="168" fontId="1" fillId="0" borderId="5" xfId="5" applyNumberFormat="1" applyFill="1" applyBorder="1" applyAlignment="1">
      <alignment horizontal="center"/>
    </xf>
    <xf numFmtId="4" fontId="1" fillId="0" borderId="5" xfId="5" applyNumberFormat="1" applyFill="1" applyBorder="1" applyAlignment="1">
      <alignment horizontal="center"/>
    </xf>
    <xf numFmtId="4" fontId="2" fillId="0" borderId="59" xfId="5" applyNumberFormat="1" applyFont="1" applyFill="1" applyBorder="1" applyAlignment="1">
      <alignment horizontal="center"/>
    </xf>
    <xf numFmtId="3" fontId="1" fillId="0" borderId="5" xfId="5" applyNumberFormat="1" applyFill="1" applyBorder="1" applyAlignment="1">
      <alignment horizontal="center"/>
    </xf>
    <xf numFmtId="3" fontId="2" fillId="0" borderId="59" xfId="5" applyNumberFormat="1" applyFont="1" applyFill="1" applyBorder="1" applyAlignment="1">
      <alignment horizontal="center"/>
    </xf>
    <xf numFmtId="0" fontId="1" fillId="0" borderId="61" xfId="5" applyFont="1" applyBorder="1" applyAlignment="1">
      <alignment horizontal="center"/>
    </xf>
    <xf numFmtId="3" fontId="1" fillId="0" borderId="61" xfId="5" applyNumberFormat="1" applyFill="1" applyBorder="1" applyAlignment="1">
      <alignment horizontal="center"/>
    </xf>
    <xf numFmtId="3" fontId="2" fillId="0" borderId="70" xfId="5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0" fontId="1" fillId="0" borderId="0" xfId="0" applyFont="1" applyFill="1" applyBorder="1"/>
    <xf numFmtId="11" fontId="1" fillId="0" borderId="5" xfId="0" applyNumberFormat="1" applyFont="1" applyFill="1" applyBorder="1" applyAlignment="1">
      <alignment horizontal="center"/>
    </xf>
    <xf numFmtId="2" fontId="1" fillId="5" borderId="22" xfId="0" applyNumberFormat="1" applyFont="1" applyFill="1" applyBorder="1" applyAlignment="1">
      <alignment horizontal="center" vertical="center"/>
    </xf>
    <xf numFmtId="2" fontId="0" fillId="5" borderId="51" xfId="0" applyNumberFormat="1" applyFill="1" applyBorder="1" applyAlignment="1">
      <alignment horizontal="center" vertical="center"/>
    </xf>
    <xf numFmtId="3" fontId="0" fillId="5" borderId="22" xfId="0" applyNumberFormat="1" applyFill="1" applyBorder="1" applyAlignment="1">
      <alignment horizontal="center" vertical="center"/>
    </xf>
    <xf numFmtId="2" fontId="0" fillId="5" borderId="22" xfId="0" applyNumberFormat="1" applyFill="1" applyBorder="1" applyAlignment="1">
      <alignment horizontal="center" vertical="center"/>
    </xf>
    <xf numFmtId="2" fontId="0" fillId="5" borderId="21" xfId="0" applyNumberFormat="1" applyFill="1" applyBorder="1" applyAlignment="1">
      <alignment horizontal="center" vertical="center"/>
    </xf>
    <xf numFmtId="3" fontId="0" fillId="6" borderId="5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/>
    </xf>
    <xf numFmtId="165" fontId="8" fillId="0" borderId="0" xfId="0" applyNumberFormat="1" applyFont="1" applyFill="1" applyBorder="1"/>
    <xf numFmtId="0" fontId="8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2" fontId="8" fillId="0" borderId="5" xfId="0" applyNumberFormat="1" applyFont="1" applyFill="1" applyBorder="1" applyAlignment="1">
      <alignment horizontal="center"/>
    </xf>
    <xf numFmtId="0" fontId="2" fillId="0" borderId="63" xfId="0" applyFont="1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0" fontId="2" fillId="0" borderId="65" xfId="0" applyFont="1" applyBorder="1" applyAlignment="1">
      <alignment horizontal="center" wrapText="1"/>
    </xf>
    <xf numFmtId="11" fontId="0" fillId="4" borderId="59" xfId="0" applyNumberFormat="1" applyFill="1" applyBorder="1" applyAlignment="1">
      <alignment horizontal="center"/>
    </xf>
    <xf numFmtId="11" fontId="8" fillId="4" borderId="59" xfId="0" applyNumberFormat="1" applyFont="1" applyFill="1" applyBorder="1" applyAlignment="1">
      <alignment horizontal="center"/>
    </xf>
    <xf numFmtId="2" fontId="2" fillId="4" borderId="59" xfId="0" applyNumberFormat="1" applyFont="1" applyFill="1" applyBorder="1" applyAlignment="1">
      <alignment horizontal="center"/>
    </xf>
    <xf numFmtId="11" fontId="2" fillId="4" borderId="59" xfId="0" applyNumberFormat="1" applyFont="1" applyFill="1" applyBorder="1" applyAlignment="1">
      <alignment horizontal="center"/>
    </xf>
    <xf numFmtId="3" fontId="2" fillId="4" borderId="59" xfId="0" applyNumberFormat="1" applyFont="1" applyFill="1" applyBorder="1" applyAlignment="1">
      <alignment horizontal="center"/>
    </xf>
    <xf numFmtId="11" fontId="8" fillId="0" borderId="61" xfId="0" quotePrefix="1" applyNumberFormat="1" applyFont="1" applyFill="1" applyBorder="1" applyAlignment="1">
      <alignment horizontal="center"/>
    </xf>
    <xf numFmtId="3" fontId="0" fillId="0" borderId="61" xfId="0" applyNumberFormat="1" applyFill="1" applyBorder="1" applyAlignment="1">
      <alignment horizontal="center"/>
    </xf>
    <xf numFmtId="3" fontId="0" fillId="4" borderId="61" xfId="0" applyNumberFormat="1" applyFill="1" applyBorder="1" applyAlignment="1">
      <alignment horizontal="center"/>
    </xf>
    <xf numFmtId="3" fontId="2" fillId="4" borderId="70" xfId="0" applyNumberFormat="1" applyFont="1" applyFill="1" applyBorder="1" applyAlignment="1">
      <alignment horizontal="center"/>
    </xf>
    <xf numFmtId="2" fontId="0" fillId="5" borderId="46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70" fontId="8" fillId="0" borderId="0" xfId="0" applyNumberFormat="1" applyFont="1" applyBorder="1"/>
    <xf numFmtId="170" fontId="8" fillId="0" borderId="0" xfId="0" applyNumberFormat="1" applyFont="1" applyFill="1" applyBorder="1"/>
    <xf numFmtId="2" fontId="0" fillId="5" borderId="5" xfId="0" applyNumberFormat="1" applyFill="1" applyBorder="1" applyAlignment="1">
      <alignment horizontal="center" vertical="center"/>
    </xf>
    <xf numFmtId="2" fontId="0" fillId="5" borderId="31" xfId="0" applyNumberForma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31" xfId="0" applyNumberFormat="1" applyFill="1" applyBorder="1" applyAlignment="1">
      <alignment horizontal="center" vertical="center"/>
    </xf>
    <xf numFmtId="3" fontId="0" fillId="6" borderId="31" xfId="0" applyNumberFormat="1" applyFill="1" applyBorder="1" applyAlignment="1">
      <alignment horizontal="center" vertical="center"/>
    </xf>
    <xf numFmtId="2" fontId="0" fillId="6" borderId="11" xfId="0" applyNumberForma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2" fillId="0" borderId="63" xfId="0" applyFont="1" applyFill="1" applyBorder="1"/>
    <xf numFmtId="0" fontId="2" fillId="0" borderId="66" xfId="0" applyFont="1" applyFill="1" applyBorder="1"/>
    <xf numFmtId="0" fontId="2" fillId="0" borderId="69" xfId="0" applyFont="1" applyFill="1" applyBorder="1"/>
    <xf numFmtId="0" fontId="1" fillId="0" borderId="0" xfId="0" applyFont="1" applyAlignment="1">
      <alignment horizontal="center"/>
    </xf>
    <xf numFmtId="3" fontId="1" fillId="4" borderId="65" xfId="0" applyNumberFormat="1" applyFont="1" applyFill="1" applyBorder="1" applyAlignment="1">
      <alignment horizontal="center"/>
    </xf>
    <xf numFmtId="2" fontId="1" fillId="4" borderId="59" xfId="0" applyNumberFormat="1" applyFont="1" applyFill="1" applyBorder="1" applyAlignment="1">
      <alignment horizontal="center"/>
    </xf>
    <xf numFmtId="3" fontId="1" fillId="4" borderId="59" xfId="0" applyNumberFormat="1" applyFont="1" applyFill="1" applyBorder="1" applyAlignment="1">
      <alignment horizontal="center"/>
    </xf>
    <xf numFmtId="3" fontId="1" fillId="4" borderId="70" xfId="0" applyNumberFormat="1" applyFont="1" applyFill="1" applyBorder="1" applyAlignment="1">
      <alignment horizontal="center"/>
    </xf>
    <xf numFmtId="3" fontId="0" fillId="4" borderId="86" xfId="0" applyNumberFormat="1" applyFill="1" applyBorder="1" applyAlignment="1">
      <alignment horizontal="center"/>
    </xf>
    <xf numFmtId="4" fontId="0" fillId="4" borderId="8" xfId="0" applyNumberFormat="1" applyFill="1" applyBorder="1" applyAlignment="1">
      <alignment horizontal="center"/>
    </xf>
    <xf numFmtId="0" fontId="2" fillId="0" borderId="87" xfId="0" applyFont="1" applyFill="1" applyBorder="1"/>
    <xf numFmtId="3" fontId="0" fillId="4" borderId="8" xfId="0" applyNumberFormat="1" applyFill="1" applyBorder="1" applyAlignment="1">
      <alignment horizontal="center"/>
    </xf>
    <xf numFmtId="0" fontId="0" fillId="0" borderId="88" xfId="0" applyBorder="1"/>
    <xf numFmtId="0" fontId="4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5" xfId="0" applyNumberFormat="1" applyBorder="1" applyAlignment="1">
      <alignment horizontal="center"/>
    </xf>
    <xf numFmtId="11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11" fontId="0" fillId="0" borderId="66" xfId="0" applyNumberFormat="1" applyBorder="1" applyAlignment="1">
      <alignment horizontal="center"/>
    </xf>
    <xf numFmtId="11" fontId="2" fillId="0" borderId="59" xfId="0" applyNumberFormat="1" applyFont="1" applyBorder="1" applyAlignment="1">
      <alignment horizontal="center"/>
    </xf>
    <xf numFmtId="11" fontId="0" fillId="0" borderId="69" xfId="0" applyNumberFormat="1" applyBorder="1" applyAlignment="1">
      <alignment horizontal="center"/>
    </xf>
    <xf numFmtId="11" fontId="0" fillId="0" borderId="61" xfId="0" applyNumberFormat="1" applyBorder="1" applyAlignment="1">
      <alignment horizontal="center"/>
    </xf>
    <xf numFmtId="11" fontId="2" fillId="0" borderId="61" xfId="0" applyNumberFormat="1" applyFont="1" applyBorder="1" applyAlignment="1">
      <alignment horizontal="center"/>
    </xf>
    <xf numFmtId="11" fontId="2" fillId="0" borderId="70" xfId="0" applyNumberFormat="1" applyFont="1" applyBorder="1" applyAlignment="1">
      <alignment horizontal="center"/>
    </xf>
    <xf numFmtId="0" fontId="2" fillId="0" borderId="63" xfId="0" applyFont="1" applyBorder="1"/>
    <xf numFmtId="0" fontId="8" fillId="0" borderId="66" xfId="0" applyFont="1" applyFill="1" applyBorder="1"/>
    <xf numFmtId="0" fontId="1" fillId="0" borderId="59" xfId="0" applyFont="1" applyBorder="1" applyAlignment="1">
      <alignment horizontal="center"/>
    </xf>
    <xf numFmtId="0" fontId="1" fillId="0" borderId="59" xfId="0" applyFont="1" applyFill="1" applyBorder="1" applyAlignment="1">
      <alignment horizontal="center"/>
    </xf>
    <xf numFmtId="0" fontId="8" fillId="0" borderId="66" xfId="0" applyFont="1" applyBorder="1"/>
    <xf numFmtId="0" fontId="1" fillId="0" borderId="66" xfId="0" applyFont="1" applyFill="1" applyBorder="1"/>
    <xf numFmtId="0" fontId="8" fillId="0" borderId="69" xfId="0" applyFont="1" applyFill="1" applyBorder="1"/>
    <xf numFmtId="0" fontId="1" fillId="0" borderId="70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" fillId="0" borderId="87" xfId="0" applyFont="1" applyFill="1" applyBorder="1"/>
    <xf numFmtId="0" fontId="1" fillId="0" borderId="67" xfId="0" applyFont="1" applyFill="1" applyBorder="1" applyAlignment="1">
      <alignment horizontal="center"/>
    </xf>
    <xf numFmtId="11" fontId="0" fillId="0" borderId="87" xfId="0" applyNumberFormat="1" applyBorder="1" applyAlignment="1">
      <alignment horizontal="center"/>
    </xf>
    <xf numFmtId="11" fontId="0" fillId="0" borderId="8" xfId="0" applyNumberFormat="1" applyBorder="1" applyAlignment="1">
      <alignment horizontal="center"/>
    </xf>
    <xf numFmtId="11" fontId="2" fillId="0" borderId="8" xfId="0" applyNumberFormat="1" applyFont="1" applyBorder="1" applyAlignment="1">
      <alignment horizontal="center"/>
    </xf>
    <xf numFmtId="11" fontId="2" fillId="0" borderId="67" xfId="0" applyNumberFormat="1" applyFont="1" applyBorder="1" applyAlignment="1">
      <alignment horizontal="center"/>
    </xf>
    <xf numFmtId="0" fontId="1" fillId="0" borderId="70" xfId="0" applyFont="1" applyFill="1" applyBorder="1" applyAlignment="1">
      <alignment horizontal="center"/>
    </xf>
    <xf numFmtId="0" fontId="8" fillId="0" borderId="87" xfId="0" applyFont="1" applyFill="1" applyBorder="1"/>
    <xf numFmtId="0" fontId="8" fillId="0" borderId="69" xfId="0" applyFont="1" applyBorder="1"/>
    <xf numFmtId="0" fontId="1" fillId="0" borderId="67" xfId="0" applyFont="1" applyBorder="1" applyAlignment="1">
      <alignment horizontal="center"/>
    </xf>
    <xf numFmtId="0" fontId="1" fillId="0" borderId="69" xfId="0" applyFont="1" applyFill="1" applyBorder="1"/>
    <xf numFmtId="0" fontId="8" fillId="0" borderId="89" xfId="0" applyFont="1" applyFill="1" applyBorder="1"/>
    <xf numFmtId="0" fontId="1" fillId="0" borderId="90" xfId="0" applyFont="1" applyBorder="1" applyAlignment="1">
      <alignment horizontal="center"/>
    </xf>
    <xf numFmtId="11" fontId="0" fillId="0" borderId="89" xfId="0" applyNumberFormat="1" applyBorder="1" applyAlignment="1">
      <alignment horizontal="center"/>
    </xf>
    <xf numFmtId="11" fontId="0" fillId="0" borderId="91" xfId="0" applyNumberFormat="1" applyBorder="1" applyAlignment="1">
      <alignment horizontal="center"/>
    </xf>
    <xf numFmtId="11" fontId="2" fillId="0" borderId="91" xfId="0" applyNumberFormat="1" applyFont="1" applyBorder="1" applyAlignment="1">
      <alignment horizontal="center"/>
    </xf>
    <xf numFmtId="11" fontId="2" fillId="0" borderId="90" xfId="0" applyNumberFormat="1" applyFont="1" applyBorder="1" applyAlignment="1">
      <alignment horizontal="center"/>
    </xf>
    <xf numFmtId="11" fontId="1" fillId="0" borderId="0" xfId="5" applyNumberFormat="1" applyBorder="1"/>
    <xf numFmtId="2" fontId="1" fillId="0" borderId="5" xfId="0" applyNumberFormat="1" applyFont="1" applyFill="1" applyBorder="1" applyAlignment="1">
      <alignment horizontal="center"/>
    </xf>
    <xf numFmtId="164" fontId="0" fillId="0" borderId="0" xfId="0" applyNumberFormat="1" applyBorder="1"/>
    <xf numFmtId="9" fontId="8" fillId="0" borderId="0" xfId="7" applyFont="1" applyBorder="1"/>
    <xf numFmtId="0" fontId="2" fillId="0" borderId="71" xfId="0" applyFont="1" applyBorder="1"/>
    <xf numFmtId="0" fontId="1" fillId="0" borderId="95" xfId="0" applyFont="1" applyBorder="1" applyAlignment="1">
      <alignment horizontal="center"/>
    </xf>
    <xf numFmtId="0" fontId="6" fillId="0" borderId="0" xfId="0" applyFont="1" applyBorder="1" applyAlignment="1"/>
    <xf numFmtId="0" fontId="4" fillId="0" borderId="0" xfId="0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96" xfId="0" applyFont="1" applyBorder="1" applyAlignment="1">
      <alignment horizontal="left" vertical="center" wrapText="1"/>
    </xf>
    <xf numFmtId="171" fontId="0" fillId="0" borderId="0" xfId="0" applyNumberFormat="1" applyBorder="1"/>
    <xf numFmtId="3" fontId="23" fillId="6" borderId="51" xfId="0" applyNumberFormat="1" applyFont="1" applyFill="1" applyBorder="1" applyAlignment="1">
      <alignment horizontal="center" vertical="center"/>
    </xf>
    <xf numFmtId="2" fontId="23" fillId="6" borderId="2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38" xfId="0" applyFont="1" applyFill="1" applyBorder="1"/>
    <xf numFmtId="2" fontId="0" fillId="2" borderId="32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0" fontId="2" fillId="2" borderId="29" xfId="0" applyFont="1" applyFill="1" applyBorder="1" applyAlignment="1">
      <alignment horizontal="center" wrapText="1"/>
    </xf>
    <xf numFmtId="2" fontId="0" fillId="2" borderId="13" xfId="0" applyNumberFormat="1" applyFill="1" applyBorder="1" applyAlignment="1">
      <alignment horizontal="center"/>
    </xf>
    <xf numFmtId="2" fontId="0" fillId="2" borderId="77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9" fontId="0" fillId="2" borderId="32" xfId="7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1" fillId="2" borderId="3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4" fillId="0" borderId="20" xfId="0" applyFont="1" applyBorder="1" applyAlignment="1">
      <alignment horizontal="center"/>
    </xf>
    <xf numFmtId="2" fontId="24" fillId="2" borderId="20" xfId="0" applyNumberFormat="1" applyFont="1" applyFill="1" applyBorder="1" applyAlignment="1">
      <alignment horizontal="center"/>
    </xf>
    <xf numFmtId="2" fontId="24" fillId="2" borderId="30" xfId="0" applyNumberFormat="1" applyFont="1" applyFill="1" applyBorder="1" applyAlignment="1">
      <alignment horizontal="center"/>
    </xf>
    <xf numFmtId="165" fontId="1" fillId="0" borderId="0" xfId="0" applyNumberFormat="1" applyFont="1" applyFill="1" applyBorder="1"/>
    <xf numFmtId="0" fontId="1" fillId="0" borderId="0" xfId="0" applyNumberFormat="1" applyFont="1" applyFill="1" applyBorder="1"/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70" fontId="1" fillId="0" borderId="0" xfId="5" applyNumberFormat="1" applyFont="1" applyBorder="1"/>
    <xf numFmtId="167" fontId="0" fillId="0" borderId="5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0" borderId="5" xfId="0" quotePrefix="1" applyNumberFormat="1" applyBorder="1" applyAlignment="1">
      <alignment horizontal="center"/>
    </xf>
    <xf numFmtId="0" fontId="23" fillId="0" borderId="5" xfId="0" applyFont="1" applyBorder="1" applyAlignment="1">
      <alignment horizontal="center"/>
    </xf>
    <xf numFmtId="167" fontId="23" fillId="0" borderId="5" xfId="0" applyNumberFormat="1" applyFont="1" applyBorder="1" applyAlignment="1">
      <alignment horizontal="center"/>
    </xf>
    <xf numFmtId="168" fontId="23" fillId="0" borderId="5" xfId="0" applyNumberFormat="1" applyFont="1" applyBorder="1" applyAlignment="1">
      <alignment horizontal="center"/>
    </xf>
    <xf numFmtId="0" fontId="23" fillId="0" borderId="5" xfId="0" quotePrefix="1" applyFont="1" applyBorder="1" applyAlignment="1">
      <alignment horizontal="center"/>
    </xf>
    <xf numFmtId="168" fontId="23" fillId="0" borderId="5" xfId="0" quotePrefix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8" fontId="1" fillId="0" borderId="5" xfId="0" applyNumberFormat="1" applyFont="1" applyFill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2" fontId="24" fillId="4" borderId="5" xfId="0" applyNumberFormat="1" applyFont="1" applyFill="1" applyBorder="1" applyAlignment="1">
      <alignment horizontal="center"/>
    </xf>
    <xf numFmtId="0" fontId="2" fillId="0" borderId="97" xfId="0" applyFont="1" applyFill="1" applyBorder="1"/>
    <xf numFmtId="0" fontId="2" fillId="0" borderId="9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6" fillId="0" borderId="0" xfId="5" applyFont="1" applyFill="1" applyAlignment="1"/>
    <xf numFmtId="0" fontId="4" fillId="0" borderId="0" xfId="5" applyFont="1" applyFill="1" applyAlignment="1"/>
    <xf numFmtId="0" fontId="2" fillId="0" borderId="0" xfId="5" applyFont="1" applyFill="1" applyAlignment="1"/>
    <xf numFmtId="49" fontId="1" fillId="0" borderId="73" xfId="5" quotePrefix="1" applyNumberFormat="1" applyFont="1" applyFill="1" applyBorder="1" applyAlignment="1">
      <alignment horizontal="left"/>
    </xf>
    <xf numFmtId="0" fontId="4" fillId="0" borderId="73" xfId="5" applyFont="1" applyFill="1" applyBorder="1" applyAlignment="1"/>
    <xf numFmtId="0" fontId="1" fillId="0" borderId="0" xfId="5" applyFont="1" applyFill="1" applyAlignment="1"/>
    <xf numFmtId="0" fontId="25" fillId="0" borderId="73" xfId="5" applyFont="1" applyFill="1" applyBorder="1" applyAlignment="1"/>
    <xf numFmtId="0" fontId="1" fillId="0" borderId="73" xfId="5" applyFont="1" applyFill="1" applyBorder="1" applyAlignment="1"/>
    <xf numFmtId="0" fontId="4" fillId="0" borderId="72" xfId="5" applyFont="1" applyFill="1" applyBorder="1" applyAlignment="1"/>
    <xf numFmtId="0" fontId="1" fillId="0" borderId="0" xfId="5" quotePrefix="1" applyFont="1" applyFill="1" applyAlignment="1"/>
    <xf numFmtId="0" fontId="1" fillId="0" borderId="0" xfId="5" applyFont="1" applyFill="1" applyBorder="1" applyAlignment="1"/>
    <xf numFmtId="0" fontId="1" fillId="0" borderId="72" xfId="5" quotePrefix="1" applyFont="1" applyFill="1" applyBorder="1" applyAlignment="1"/>
    <xf numFmtId="0" fontId="1" fillId="0" borderId="0" xfId="5" applyFill="1" applyAlignment="1"/>
    <xf numFmtId="0" fontId="2" fillId="0" borderId="38" xfId="5" applyFont="1" applyFill="1" applyBorder="1"/>
    <xf numFmtId="0" fontId="2" fillId="0" borderId="3" xfId="5" applyFont="1" applyFill="1" applyBorder="1" applyAlignment="1">
      <alignment vertical="top" wrapText="1"/>
    </xf>
    <xf numFmtId="0" fontId="2" fillId="0" borderId="102" xfId="5" applyFont="1" applyFill="1" applyBorder="1" applyAlignment="1">
      <alignment horizontal="left"/>
    </xf>
    <xf numFmtId="0" fontId="2" fillId="0" borderId="3" xfId="5" applyFont="1" applyFill="1" applyBorder="1" applyAlignment="1">
      <alignment horizontal="left"/>
    </xf>
    <xf numFmtId="0" fontId="2" fillId="0" borderId="77" xfId="5" applyFont="1" applyFill="1" applyBorder="1" applyAlignment="1">
      <alignment horizontal="left"/>
    </xf>
    <xf numFmtId="0" fontId="2" fillId="0" borderId="35" xfId="5" applyFont="1" applyFill="1" applyBorder="1" applyAlignment="1">
      <alignment horizontal="left"/>
    </xf>
    <xf numFmtId="0" fontId="1" fillId="0" borderId="9" xfId="5" applyFont="1" applyFill="1" applyBorder="1" applyAlignment="1">
      <alignment wrapText="1"/>
    </xf>
    <xf numFmtId="0" fontId="1" fillId="0" borderId="8" xfId="5" applyFont="1" applyFill="1" applyBorder="1" applyAlignment="1">
      <alignment horizontal="center" wrapText="1"/>
    </xf>
    <xf numFmtId="0" fontId="1" fillId="0" borderId="9" xfId="5" applyFont="1" applyFill="1" applyBorder="1" applyAlignment="1">
      <alignment horizontal="center" wrapText="1"/>
    </xf>
    <xf numFmtId="0" fontId="1" fillId="0" borderId="32" xfId="5" applyFont="1" applyFill="1" applyBorder="1" applyAlignment="1">
      <alignment horizontal="center" wrapText="1"/>
    </xf>
    <xf numFmtId="0" fontId="1" fillId="0" borderId="5" xfId="5" applyFont="1" applyFill="1" applyBorder="1" applyAlignment="1">
      <alignment horizontal="center" wrapText="1"/>
    </xf>
    <xf numFmtId="2" fontId="1" fillId="0" borderId="8" xfId="5" applyNumberFormat="1" applyFont="1" applyFill="1" applyBorder="1" applyAlignment="1">
      <alignment horizontal="center" wrapText="1"/>
    </xf>
    <xf numFmtId="2" fontId="1" fillId="0" borderId="5" xfId="5" applyNumberFormat="1" applyFont="1" applyFill="1" applyBorder="1" applyAlignment="1">
      <alignment horizontal="center" wrapText="1"/>
    </xf>
    <xf numFmtId="0" fontId="1" fillId="0" borderId="31" xfId="5" applyFont="1" applyFill="1" applyBorder="1" applyAlignment="1">
      <alignment horizontal="center" wrapText="1"/>
    </xf>
    <xf numFmtId="0" fontId="1" fillId="0" borderId="73" xfId="5" applyFont="1" applyFill="1" applyBorder="1" applyAlignment="1">
      <alignment horizontal="center" wrapText="1"/>
    </xf>
    <xf numFmtId="3" fontId="1" fillId="0" borderId="9" xfId="5" applyNumberFormat="1" applyFont="1" applyFill="1" applyBorder="1" applyAlignment="1">
      <alignment horizontal="center" wrapText="1"/>
    </xf>
    <xf numFmtId="3" fontId="1" fillId="0" borderId="8" xfId="5" applyNumberFormat="1" applyFont="1" applyFill="1" applyBorder="1" applyAlignment="1">
      <alignment horizontal="center" wrapText="1"/>
    </xf>
    <xf numFmtId="3" fontId="1" fillId="0" borderId="5" xfId="5" applyNumberFormat="1" applyFont="1" applyFill="1" applyBorder="1" applyAlignment="1">
      <alignment horizontal="center" wrapText="1"/>
    </xf>
    <xf numFmtId="0" fontId="1" fillId="0" borderId="5" xfId="5" applyFont="1" applyFill="1" applyBorder="1" applyAlignment="1">
      <alignment horizontal="center"/>
    </xf>
    <xf numFmtId="2" fontId="1" fillId="0" borderId="31" xfId="5" applyNumberFormat="1" applyFill="1" applyBorder="1" applyAlignment="1">
      <alignment horizontal="center"/>
    </xf>
    <xf numFmtId="11" fontId="1" fillId="0" borderId="31" xfId="5" applyNumberFormat="1" applyFill="1" applyBorder="1" applyAlignment="1">
      <alignment horizontal="center"/>
    </xf>
    <xf numFmtId="11" fontId="1" fillId="0" borderId="6" xfId="5" applyNumberFormat="1" applyFill="1" applyBorder="1" applyAlignment="1">
      <alignment horizontal="center"/>
    </xf>
    <xf numFmtId="11" fontId="1" fillId="0" borderId="72" xfId="5" applyNumberFormat="1" applyFill="1" applyBorder="1" applyAlignment="1">
      <alignment horizontal="center"/>
    </xf>
    <xf numFmtId="0" fontId="1" fillId="0" borderId="0" xfId="5" applyFont="1" applyFill="1" applyBorder="1" applyAlignment="1">
      <alignment wrapText="1"/>
    </xf>
    <xf numFmtId="0" fontId="1" fillId="0" borderId="0" xfId="5" applyFont="1" applyFill="1" applyBorder="1" applyAlignment="1">
      <alignment horizontal="left"/>
    </xf>
    <xf numFmtId="11" fontId="1" fillId="0" borderId="0" xfId="5" applyNumberFormat="1" applyFill="1" applyBorder="1" applyAlignment="1">
      <alignment horizontal="center"/>
    </xf>
    <xf numFmtId="0" fontId="4" fillId="0" borderId="0" xfId="5" applyFont="1" applyFill="1" applyBorder="1" applyAlignment="1"/>
    <xf numFmtId="0" fontId="1" fillId="0" borderId="6" xfId="5" applyFont="1" applyFill="1" applyBorder="1" applyAlignment="1">
      <alignment wrapText="1"/>
    </xf>
    <xf numFmtId="0" fontId="1" fillId="0" borderId="5" xfId="5" quotePrefix="1" applyFont="1" applyFill="1" applyBorder="1" applyAlignment="1">
      <alignment horizontal="center"/>
    </xf>
    <xf numFmtId="0" fontId="1" fillId="0" borderId="5" xfId="5" applyFont="1" applyFill="1" applyBorder="1" applyAlignment="1">
      <alignment horizontal="left"/>
    </xf>
    <xf numFmtId="0" fontId="1" fillId="0" borderId="0" xfId="5" applyFill="1" applyAlignment="1">
      <alignment horizontal="center"/>
    </xf>
    <xf numFmtId="16" fontId="26" fillId="0" borderId="0" xfId="5" quotePrefix="1" applyNumberFormat="1" applyFont="1" applyFill="1" applyAlignment="1">
      <alignment horizontal="left"/>
    </xf>
    <xf numFmtId="0" fontId="1" fillId="0" borderId="0" xfId="5" applyFill="1" applyBorder="1" applyAlignment="1">
      <alignment horizontal="center"/>
    </xf>
    <xf numFmtId="0" fontId="2" fillId="0" borderId="3" xfId="5" applyFont="1" applyFill="1" applyBorder="1"/>
    <xf numFmtId="0" fontId="2" fillId="0" borderId="103" xfId="5" applyFont="1" applyFill="1" applyBorder="1" applyAlignment="1"/>
    <xf numFmtId="0" fontId="2" fillId="0" borderId="3" xfId="5" applyFont="1" applyFill="1" applyBorder="1" applyAlignment="1"/>
    <xf numFmtId="0" fontId="1" fillId="0" borderId="8" xfId="5" applyFont="1" applyFill="1" applyBorder="1" applyAlignment="1">
      <alignment wrapText="1"/>
    </xf>
    <xf numFmtId="0" fontId="11" fillId="0" borderId="5" xfId="5" applyFont="1" applyFill="1" applyBorder="1" applyAlignment="1">
      <alignment horizontal="center"/>
    </xf>
    <xf numFmtId="0" fontId="11" fillId="0" borderId="31" xfId="5" applyFont="1" applyFill="1" applyBorder="1" applyAlignment="1">
      <alignment horizontal="center"/>
    </xf>
    <xf numFmtId="0" fontId="11" fillId="0" borderId="36" xfId="5" applyFont="1" applyFill="1" applyBorder="1" applyAlignment="1">
      <alignment horizontal="center"/>
    </xf>
    <xf numFmtId="0" fontId="11" fillId="0" borderId="35" xfId="5" applyFont="1" applyFill="1" applyBorder="1" applyAlignment="1">
      <alignment horizontal="center"/>
    </xf>
    <xf numFmtId="0" fontId="2" fillId="0" borderId="0" xfId="5" applyFont="1" applyFill="1" applyAlignment="1">
      <alignment vertical="center"/>
    </xf>
    <xf numFmtId="2" fontId="1" fillId="0" borderId="11" xfId="5" applyNumberFormat="1" applyFill="1" applyBorder="1" applyAlignment="1">
      <alignment horizontal="center"/>
    </xf>
    <xf numFmtId="0" fontId="11" fillId="0" borderId="66" xfId="5" applyFont="1" applyFill="1" applyBorder="1" applyAlignment="1"/>
    <xf numFmtId="0" fontId="1" fillId="0" borderId="38" xfId="5" applyFill="1" applyBorder="1"/>
    <xf numFmtId="0" fontId="11" fillId="0" borderId="6" xfId="5" applyFont="1" applyFill="1" applyBorder="1" applyAlignment="1"/>
    <xf numFmtId="0" fontId="12" fillId="0" borderId="6" xfId="5" applyFont="1" applyFill="1" applyBorder="1" applyAlignment="1"/>
    <xf numFmtId="0" fontId="20" fillId="0" borderId="0" xfId="5" applyFont="1" applyFill="1" applyBorder="1"/>
    <xf numFmtId="0" fontId="11" fillId="0" borderId="72" xfId="5" applyFont="1" applyFill="1" applyBorder="1" applyAlignment="1"/>
    <xf numFmtId="0" fontId="2" fillId="0" borderId="0" xfId="5" applyFont="1" applyFill="1"/>
    <xf numFmtId="168" fontId="2" fillId="0" borderId="0" xfId="5" applyNumberFormat="1" applyFont="1" applyFill="1" applyBorder="1" applyAlignment="1">
      <alignment horizontal="center"/>
    </xf>
    <xf numFmtId="0" fontId="2" fillId="0" borderId="0" xfId="5" applyFont="1" applyFill="1" applyBorder="1" applyAlignment="1"/>
    <xf numFmtId="0" fontId="11" fillId="0" borderId="0" xfId="5" applyFont="1" applyFill="1" applyBorder="1" applyAlignment="1">
      <alignment horizontal="center"/>
    </xf>
    <xf numFmtId="49" fontId="1" fillId="0" borderId="0" xfId="5" applyNumberFormat="1" applyFont="1" applyFill="1" applyBorder="1"/>
    <xf numFmtId="168" fontId="2" fillId="7" borderId="0" xfId="5" applyNumberFormat="1" applyFont="1" applyFill="1" applyBorder="1" applyAlignment="1">
      <alignment horizontal="center"/>
    </xf>
    <xf numFmtId="0" fontId="11" fillId="0" borderId="59" xfId="5" applyFont="1" applyFill="1" applyBorder="1" applyAlignment="1"/>
    <xf numFmtId="2" fontId="1" fillId="0" borderId="9" xfId="5" applyNumberFormat="1" applyFont="1" applyFill="1" applyBorder="1" applyAlignment="1">
      <alignment horizontal="center" wrapText="1"/>
    </xf>
    <xf numFmtId="164" fontId="1" fillId="0" borderId="8" xfId="5" applyNumberFormat="1" applyFont="1" applyFill="1" applyBorder="1" applyAlignment="1">
      <alignment horizontal="center" wrapText="1"/>
    </xf>
    <xf numFmtId="0" fontId="2" fillId="0" borderId="47" xfId="0" applyFont="1" applyBorder="1"/>
    <xf numFmtId="0" fontId="0" fillId="0" borderId="47" xfId="0" applyBorder="1"/>
    <xf numFmtId="3" fontId="0" fillId="0" borderId="0" xfId="0" applyNumberFormat="1"/>
    <xf numFmtId="4" fontId="0" fillId="0" borderId="0" xfId="0" applyNumberFormat="1"/>
    <xf numFmtId="0" fontId="2" fillId="0" borderId="47" xfId="0" applyFont="1" applyBorder="1" applyAlignment="1"/>
    <xf numFmtId="0" fontId="2" fillId="0" borderId="0" xfId="0" applyFont="1" applyBorder="1" applyAlignment="1"/>
    <xf numFmtId="0" fontId="2" fillId="0" borderId="47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93" xfId="0" applyFont="1" applyBorder="1" applyAlignment="1"/>
    <xf numFmtId="0" fontId="2" fillId="0" borderId="94" xfId="0" applyFont="1" applyBorder="1" applyAlignment="1"/>
    <xf numFmtId="0" fontId="2" fillId="0" borderId="39" xfId="0" applyFont="1" applyBorder="1" applyAlignment="1"/>
    <xf numFmtId="0" fontId="2" fillId="0" borderId="0" xfId="0" applyFont="1" applyAlignment="1"/>
    <xf numFmtId="0" fontId="0" fillId="0" borderId="37" xfId="0" applyBorder="1"/>
    <xf numFmtId="0" fontId="0" fillId="0" borderId="46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51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24" xfId="0" applyBorder="1"/>
    <xf numFmtId="0" fontId="0" fillId="0" borderId="6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4" fontId="0" fillId="0" borderId="31" xfId="0" applyNumberFormat="1" applyFill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23" xfId="0" applyBorder="1"/>
    <xf numFmtId="0" fontId="0" fillId="0" borderId="41" xfId="0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2" fillId="0" borderId="94" xfId="0" applyFont="1" applyBorder="1" applyAlignment="1">
      <alignment horizontal="center"/>
    </xf>
    <xf numFmtId="165" fontId="2" fillId="0" borderId="94" xfId="0" applyNumberFormat="1" applyFont="1" applyBorder="1" applyAlignment="1"/>
    <xf numFmtId="164" fontId="2" fillId="0" borderId="94" xfId="0" applyNumberFormat="1" applyFont="1" applyBorder="1" applyAlignment="1"/>
    <xf numFmtId="164" fontId="2" fillId="0" borderId="39" xfId="0" applyNumberFormat="1" applyFont="1" applyBorder="1" applyAlignment="1"/>
    <xf numFmtId="0" fontId="1" fillId="0" borderId="24" xfId="0" applyFont="1" applyBorder="1"/>
    <xf numFmtId="0" fontId="1" fillId="0" borderId="6" xfId="0" applyFont="1" applyBorder="1" applyAlignment="1">
      <alignment horizontal="center"/>
    </xf>
    <xf numFmtId="4" fontId="0" fillId="0" borderId="31" xfId="0" applyNumberFormat="1" applyBorder="1" applyAlignment="1">
      <alignment horizontal="center"/>
    </xf>
    <xf numFmtId="0" fontId="1" fillId="0" borderId="104" xfId="0" applyFont="1" applyBorder="1"/>
    <xf numFmtId="0" fontId="1" fillId="0" borderId="1" xfId="0" applyFont="1" applyBorder="1" applyAlignment="1">
      <alignment horizontal="center"/>
    </xf>
    <xf numFmtId="3" fontId="0" fillId="0" borderId="105" xfId="0" applyNumberFormat="1" applyBorder="1" applyAlignment="1">
      <alignment horizontal="center"/>
    </xf>
    <xf numFmtId="4" fontId="0" fillId="0" borderId="106" xfId="0" applyNumberFormat="1" applyBorder="1" applyAlignment="1">
      <alignment horizontal="center"/>
    </xf>
    <xf numFmtId="3" fontId="0" fillId="0" borderId="104" xfId="0" applyNumberFormat="1" applyBorder="1" applyAlignment="1">
      <alignment horizontal="center"/>
    </xf>
    <xf numFmtId="4" fontId="0" fillId="0" borderId="105" xfId="0" applyNumberFormat="1" applyBorder="1" applyAlignment="1">
      <alignment horizontal="center"/>
    </xf>
    <xf numFmtId="165" fontId="0" fillId="0" borderId="105" xfId="0" applyNumberFormat="1" applyBorder="1" applyAlignment="1">
      <alignment horizontal="center"/>
    </xf>
    <xf numFmtId="164" fontId="0" fillId="0" borderId="105" xfId="0" applyNumberFormat="1" applyBorder="1" applyAlignment="1">
      <alignment horizontal="center"/>
    </xf>
    <xf numFmtId="164" fontId="0" fillId="0" borderId="84" xfId="0" applyNumberFormat="1" applyBorder="1" applyAlignment="1">
      <alignment horizontal="center"/>
    </xf>
    <xf numFmtId="0" fontId="0" fillId="0" borderId="93" xfId="0" applyBorder="1"/>
    <xf numFmtId="0" fontId="0" fillId="0" borderId="94" xfId="0" applyBorder="1"/>
    <xf numFmtId="0" fontId="2" fillId="0" borderId="39" xfId="0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8" fontId="2" fillId="0" borderId="14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7" fillId="0" borderId="0" xfId="0" applyFont="1"/>
    <xf numFmtId="2" fontId="27" fillId="0" borderId="0" xfId="0" applyNumberFormat="1" applyFont="1" applyAlignment="1">
      <alignment horizontal="center"/>
    </xf>
    <xf numFmtId="0" fontId="28" fillId="0" borderId="0" xfId="0" applyFont="1"/>
    <xf numFmtId="1" fontId="2" fillId="0" borderId="2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1" fontId="2" fillId="0" borderId="0" xfId="0" applyNumberFormat="1" applyFont="1" applyBorder="1" applyAlignment="1">
      <alignment horizontal="center"/>
    </xf>
    <xf numFmtId="0" fontId="2" fillId="0" borderId="9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2" fillId="0" borderId="66" xfId="0" applyFont="1" applyBorder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21" fillId="0" borderId="6" xfId="5" applyFont="1" applyFill="1" applyBorder="1"/>
    <xf numFmtId="0" fontId="2" fillId="0" borderId="15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9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wrapText="1"/>
    </xf>
    <xf numFmtId="0" fontId="1" fillId="0" borderId="85" xfId="0" applyFont="1" applyBorder="1" applyAlignment="1">
      <alignment horizontal="center" wrapText="1"/>
    </xf>
    <xf numFmtId="3" fontId="0" fillId="4" borderId="32" xfId="0" applyNumberFormat="1" applyFill="1" applyBorder="1" applyAlignment="1">
      <alignment horizontal="center"/>
    </xf>
    <xf numFmtId="4" fontId="0" fillId="4" borderId="32" xfId="0" applyNumberFormat="1" applyFill="1" applyBorder="1" applyAlignment="1">
      <alignment horizontal="center"/>
    </xf>
    <xf numFmtId="3" fontId="0" fillId="4" borderId="107" xfId="0" applyNumberFormat="1" applyFill="1" applyBorder="1" applyAlignment="1">
      <alignment horizontal="center"/>
    </xf>
    <xf numFmtId="0" fontId="1" fillId="0" borderId="64" xfId="0" applyFont="1" applyBorder="1" applyAlignment="1">
      <alignment horizontal="center" wrapText="1"/>
    </xf>
    <xf numFmtId="3" fontId="0" fillId="4" borderId="67" xfId="0" applyNumberFormat="1" applyFill="1" applyBorder="1" applyAlignment="1">
      <alignment horizontal="center"/>
    </xf>
    <xf numFmtId="4" fontId="0" fillId="4" borderId="67" xfId="0" applyNumberFormat="1" applyFill="1" applyBorder="1" applyAlignment="1">
      <alignment horizontal="center"/>
    </xf>
    <xf numFmtId="3" fontId="0" fillId="4" borderId="70" xfId="0" applyNumberFormat="1" applyFill="1" applyBorder="1" applyAlignment="1">
      <alignment horizontal="center"/>
    </xf>
    <xf numFmtId="0" fontId="8" fillId="0" borderId="108" xfId="0" applyFont="1" applyFill="1" applyBorder="1"/>
    <xf numFmtId="0" fontId="1" fillId="0" borderId="109" xfId="0" applyFont="1" applyBorder="1" applyAlignment="1">
      <alignment horizontal="center"/>
    </xf>
    <xf numFmtId="11" fontId="0" fillId="0" borderId="108" xfId="0" applyNumberFormat="1" applyBorder="1" applyAlignment="1">
      <alignment horizontal="center"/>
    </xf>
    <xf numFmtId="11" fontId="0" fillId="0" borderId="35" xfId="0" applyNumberFormat="1" applyBorder="1" applyAlignment="1">
      <alignment horizontal="center"/>
    </xf>
    <xf numFmtId="11" fontId="2" fillId="0" borderId="35" xfId="0" applyNumberFormat="1" applyFont="1" applyBorder="1" applyAlignment="1">
      <alignment horizontal="center"/>
    </xf>
    <xf numFmtId="11" fontId="2" fillId="0" borderId="109" xfId="0" applyNumberFormat="1" applyFont="1" applyBorder="1" applyAlignment="1">
      <alignment horizontal="center"/>
    </xf>
    <xf numFmtId="0" fontId="2" fillId="0" borderId="36" xfId="5" applyFont="1" applyFill="1" applyBorder="1" applyAlignment="1"/>
    <xf numFmtId="0" fontId="2" fillId="0" borderId="35" xfId="5" applyFont="1" applyFill="1" applyBorder="1"/>
    <xf numFmtId="0" fontId="2" fillId="0" borderId="102" xfId="5" applyFont="1" applyFill="1" applyBorder="1" applyAlignment="1"/>
    <xf numFmtId="0" fontId="11" fillId="0" borderId="102" xfId="5" applyFont="1" applyFill="1" applyBorder="1" applyAlignment="1">
      <alignment horizontal="center"/>
    </xf>
    <xf numFmtId="0" fontId="12" fillId="0" borderId="75" xfId="5" applyFont="1" applyFill="1" applyBorder="1" applyAlignment="1"/>
    <xf numFmtId="2" fontId="1" fillId="0" borderId="75" xfId="5" applyNumberFormat="1" applyFill="1" applyBorder="1" applyAlignment="1">
      <alignment horizontal="center"/>
    </xf>
    <xf numFmtId="0" fontId="11" fillId="0" borderId="75" xfId="5" applyFont="1" applyFill="1" applyBorder="1" applyAlignment="1"/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/>
    <xf numFmtId="0" fontId="2" fillId="0" borderId="42" xfId="0" applyFont="1" applyFill="1" applyBorder="1"/>
    <xf numFmtId="0" fontId="2" fillId="0" borderId="94" xfId="0" applyFont="1" applyFill="1" applyBorder="1"/>
    <xf numFmtId="0" fontId="2" fillId="0" borderId="111" xfId="0" applyFont="1" applyFill="1" applyBorder="1" applyAlignment="1">
      <alignment horizontal="center" wrapText="1"/>
    </xf>
    <xf numFmtId="2" fontId="0" fillId="5" borderId="37" xfId="0" applyNumberFormat="1" applyFill="1" applyBorder="1" applyAlignment="1">
      <alignment horizontal="center" vertical="center"/>
    </xf>
    <xf numFmtId="2" fontId="0" fillId="5" borderId="110" xfId="0" applyNumberFormat="1" applyFill="1" applyBorder="1" applyAlignment="1">
      <alignment horizontal="center" vertical="center"/>
    </xf>
    <xf numFmtId="2" fontId="0" fillId="0" borderId="59" xfId="0" applyNumberFormat="1" applyFill="1" applyBorder="1" applyAlignment="1">
      <alignment horizontal="center"/>
    </xf>
    <xf numFmtId="0" fontId="2" fillId="0" borderId="117" xfId="0" applyFont="1" applyFill="1" applyBorder="1" applyAlignment="1">
      <alignment horizontal="center"/>
    </xf>
    <xf numFmtId="2" fontId="0" fillId="5" borderId="116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/>
    </xf>
    <xf numFmtId="2" fontId="0" fillId="6" borderId="120" xfId="0" applyNumberFormat="1" applyFill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center" vertical="center"/>
    </xf>
    <xf numFmtId="2" fontId="0" fillId="6" borderId="6" xfId="0" applyNumberFormat="1" applyFill="1" applyBorder="1" applyAlignment="1">
      <alignment horizontal="center" vertical="center"/>
    </xf>
    <xf numFmtId="2" fontId="1" fillId="5" borderId="116" xfId="0" applyNumberFormat="1" applyFont="1" applyFill="1" applyBorder="1" applyAlignment="1">
      <alignment horizontal="center" vertical="center"/>
    </xf>
    <xf numFmtId="2" fontId="1" fillId="5" borderId="110" xfId="0" applyNumberFormat="1" applyFont="1" applyFill="1" applyBorder="1" applyAlignment="1">
      <alignment horizontal="center" vertical="center"/>
    </xf>
    <xf numFmtId="2" fontId="0" fillId="5" borderId="66" xfId="0" applyNumberFormat="1" applyFill="1" applyBorder="1" applyAlignment="1">
      <alignment horizontal="center" vertical="center"/>
    </xf>
    <xf numFmtId="2" fontId="0" fillId="5" borderId="59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59" xfId="0" applyNumberFormat="1" applyFill="1" applyBorder="1" applyAlignment="1">
      <alignment horizontal="center" vertical="center"/>
    </xf>
    <xf numFmtId="2" fontId="0" fillId="6" borderId="66" xfId="0" applyNumberFormat="1" applyFill="1" applyBorder="1" applyAlignment="1">
      <alignment horizontal="center" vertical="center"/>
    </xf>
    <xf numFmtId="2" fontId="0" fillId="6" borderId="59" xfId="0" applyNumberFormat="1" applyFill="1" applyBorder="1" applyAlignment="1">
      <alignment horizontal="center" vertical="center"/>
    </xf>
    <xf numFmtId="3" fontId="0" fillId="5" borderId="116" xfId="0" applyNumberFormat="1" applyFill="1" applyBorder="1" applyAlignment="1">
      <alignment horizontal="center" vertical="center"/>
    </xf>
    <xf numFmtId="3" fontId="0" fillId="5" borderId="110" xfId="0" applyNumberFormat="1" applyFill="1" applyBorder="1" applyAlignment="1">
      <alignment horizontal="center" vertical="center"/>
    </xf>
    <xf numFmtId="3" fontId="0" fillId="5" borderId="121" xfId="0" applyNumberFormat="1" applyFill="1" applyBorder="1" applyAlignment="1">
      <alignment horizontal="center" vertical="center"/>
    </xf>
    <xf numFmtId="3" fontId="0" fillId="5" borderId="59" xfId="0" applyNumberFormat="1" applyFill="1" applyBorder="1" applyAlignment="1">
      <alignment horizontal="center" vertical="center"/>
    </xf>
    <xf numFmtId="3" fontId="0" fillId="5" borderId="66" xfId="0" applyNumberFormat="1" applyFill="1" applyBorder="1" applyAlignment="1">
      <alignment horizontal="center" vertical="center"/>
    </xf>
    <xf numFmtId="3" fontId="23" fillId="6" borderId="122" xfId="0" applyNumberFormat="1" applyFont="1" applyFill="1" applyBorder="1" applyAlignment="1">
      <alignment horizontal="center" vertical="center"/>
    </xf>
    <xf numFmtId="3" fontId="23" fillId="6" borderId="110" xfId="0" applyNumberFormat="1" applyFont="1" applyFill="1" applyBorder="1" applyAlignment="1">
      <alignment horizontal="center" vertical="center"/>
    </xf>
    <xf numFmtId="3" fontId="0" fillId="6" borderId="121" xfId="0" applyNumberFormat="1" applyFill="1" applyBorder="1" applyAlignment="1">
      <alignment horizontal="center" vertical="center"/>
    </xf>
    <xf numFmtId="3" fontId="0" fillId="6" borderId="59" xfId="0" applyNumberFormat="1" applyFill="1" applyBorder="1" applyAlignment="1">
      <alignment horizontal="center" vertical="center"/>
    </xf>
    <xf numFmtId="3" fontId="0" fillId="6" borderId="66" xfId="0" applyNumberFormat="1" applyFill="1" applyBorder="1" applyAlignment="1">
      <alignment horizontal="center" vertical="center"/>
    </xf>
    <xf numFmtId="3" fontId="0" fillId="6" borderId="123" xfId="0" applyNumberFormat="1" applyFill="1" applyBorder="1" applyAlignment="1">
      <alignment horizontal="center" vertical="center"/>
    </xf>
    <xf numFmtId="2" fontId="0" fillId="5" borderId="122" xfId="0" applyNumberFormat="1" applyFill="1" applyBorder="1" applyAlignment="1">
      <alignment horizontal="center" vertical="center"/>
    </xf>
    <xf numFmtId="2" fontId="0" fillId="5" borderId="121" xfId="0" applyNumberFormat="1" applyFill="1" applyBorder="1" applyAlignment="1">
      <alignment horizontal="center" vertical="center"/>
    </xf>
    <xf numFmtId="2" fontId="0" fillId="6" borderId="121" xfId="0" applyNumberFormat="1" applyFill="1" applyBorder="1" applyAlignment="1">
      <alignment horizontal="center" vertical="center"/>
    </xf>
    <xf numFmtId="0" fontId="2" fillId="0" borderId="95" xfId="0" applyFont="1" applyBorder="1" applyAlignment="1">
      <alignment horizontal="center" wrapText="1"/>
    </xf>
    <xf numFmtId="0" fontId="8" fillId="0" borderId="31" xfId="0" applyFont="1" applyFill="1" applyBorder="1"/>
    <xf numFmtId="0" fontId="8" fillId="0" borderId="31" xfId="0" applyFont="1" applyBorder="1"/>
    <xf numFmtId="0" fontId="2" fillId="0" borderId="31" xfId="0" applyFont="1" applyFill="1" applyBorder="1"/>
    <xf numFmtId="0" fontId="2" fillId="0" borderId="107" xfId="0" applyFont="1" applyFill="1" applyBorder="1"/>
    <xf numFmtId="0" fontId="2" fillId="0" borderId="125" xfId="0" applyFont="1" applyBorder="1" applyAlignment="1">
      <alignment horizontal="center" wrapText="1"/>
    </xf>
    <xf numFmtId="11" fontId="0" fillId="0" borderId="6" xfId="0" applyNumberForma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0" fillId="0" borderId="126" xfId="0" applyNumberFormat="1" applyFill="1" applyBorder="1" applyAlignment="1">
      <alignment horizontal="center"/>
    </xf>
    <xf numFmtId="11" fontId="0" fillId="0" borderId="66" xfId="0" applyNumberFormat="1" applyFill="1" applyBorder="1" applyAlignment="1">
      <alignment horizontal="center"/>
    </xf>
    <xf numFmtId="11" fontId="0" fillId="0" borderId="59" xfId="0" applyNumberFormat="1" applyFill="1" applyBorder="1" applyAlignment="1">
      <alignment horizontal="center"/>
    </xf>
    <xf numFmtId="11" fontId="8" fillId="0" borderId="66" xfId="0" applyNumberFormat="1" applyFont="1" applyFill="1" applyBorder="1" applyAlignment="1">
      <alignment horizontal="center"/>
    </xf>
    <xf numFmtId="11" fontId="0" fillId="0" borderId="109" xfId="0" applyNumberFormat="1" applyFill="1" applyBorder="1" applyAlignment="1">
      <alignment vertical="center"/>
    </xf>
    <xf numFmtId="11" fontId="1" fillId="0" borderId="59" xfId="0" applyNumberFormat="1" applyFont="1" applyFill="1" applyBorder="1" applyAlignment="1">
      <alignment horizontal="center"/>
    </xf>
    <xf numFmtId="11" fontId="8" fillId="0" borderId="69" xfId="0" quotePrefix="1" applyNumberFormat="1" applyFont="1" applyFill="1" applyBorder="1" applyAlignment="1">
      <alignment horizontal="center"/>
    </xf>
    <xf numFmtId="11" fontId="8" fillId="0" borderId="70" xfId="0" quotePrefix="1" applyNumberFormat="1" applyFont="1" applyFill="1" applyBorder="1" applyAlignment="1">
      <alignment horizontal="center"/>
    </xf>
    <xf numFmtId="11" fontId="0" fillId="0" borderId="31" xfId="0" applyNumberFormat="1" applyFill="1" applyBorder="1" applyAlignment="1">
      <alignment horizontal="center"/>
    </xf>
    <xf numFmtId="2" fontId="0" fillId="0" borderId="31" xfId="0" applyNumberFormat="1" applyFill="1" applyBorder="1" applyAlignment="1">
      <alignment horizontal="center"/>
    </xf>
    <xf numFmtId="2" fontId="1" fillId="0" borderId="31" xfId="0" applyNumberFormat="1" applyFont="1" applyFill="1" applyBorder="1" applyAlignment="1">
      <alignment horizontal="center"/>
    </xf>
    <xf numFmtId="3" fontId="0" fillId="0" borderId="31" xfId="0" applyNumberFormat="1" applyFill="1" applyBorder="1" applyAlignment="1">
      <alignment horizontal="center"/>
    </xf>
    <xf numFmtId="3" fontId="0" fillId="0" borderId="107" xfId="0" applyNumberFormat="1" applyFill="1" applyBorder="1" applyAlignment="1">
      <alignment horizontal="center"/>
    </xf>
    <xf numFmtId="11" fontId="0" fillId="4" borderId="6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8" fillId="4" borderId="6" xfId="0" applyNumberFormat="1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0" fillId="4" borderId="126" xfId="0" applyNumberFormat="1" applyFill="1" applyBorder="1" applyAlignment="1">
      <alignment horizontal="center"/>
    </xf>
    <xf numFmtId="2" fontId="8" fillId="0" borderId="66" xfId="0" applyNumberFormat="1" applyFont="1" applyFill="1" applyBorder="1" applyAlignment="1">
      <alignment horizontal="center"/>
    </xf>
    <xf numFmtId="3" fontId="0" fillId="0" borderId="66" xfId="0" applyNumberFormat="1" applyFill="1" applyBorder="1" applyAlignment="1">
      <alignment horizontal="center"/>
    </xf>
    <xf numFmtId="3" fontId="0" fillId="0" borderId="59" xfId="0" applyNumberFormat="1" applyFill="1" applyBorder="1" applyAlignment="1">
      <alignment horizontal="center"/>
    </xf>
    <xf numFmtId="3" fontId="0" fillId="0" borderId="69" xfId="0" applyNumberFormat="1" applyFill="1" applyBorder="1" applyAlignment="1">
      <alignment horizontal="center"/>
    </xf>
    <xf numFmtId="3" fontId="0" fillId="0" borderId="70" xfId="0" applyNumberFormat="1" applyFill="1" applyBorder="1" applyAlignment="1">
      <alignment horizontal="center"/>
    </xf>
    <xf numFmtId="0" fontId="1" fillId="0" borderId="31" xfId="0" applyFont="1" applyFill="1" applyBorder="1"/>
    <xf numFmtId="0" fontId="1" fillId="0" borderId="31" xfId="0" applyFont="1" applyBorder="1"/>
    <xf numFmtId="3" fontId="8" fillId="0" borderId="6" xfId="0" applyNumberFormat="1" applyFont="1" applyFill="1" applyBorder="1" applyAlignment="1">
      <alignment horizontal="center"/>
    </xf>
    <xf numFmtId="11" fontId="8" fillId="0" borderId="66" xfId="0" applyNumberFormat="1" applyFont="1" applyBorder="1" applyAlignment="1">
      <alignment horizontal="center"/>
    </xf>
    <xf numFmtId="11" fontId="0" fillId="0" borderId="69" xfId="0" applyNumberFormat="1" applyFill="1" applyBorder="1" applyAlignment="1">
      <alignment horizontal="center"/>
    </xf>
    <xf numFmtId="0" fontId="31" fillId="0" borderId="5" xfId="0" applyFont="1" applyBorder="1" applyAlignment="1">
      <alignment horizontal="center" wrapText="1"/>
    </xf>
    <xf numFmtId="2" fontId="27" fillId="0" borderId="5" xfId="0" applyNumberFormat="1" applyFont="1" applyFill="1" applyBorder="1" applyAlignment="1">
      <alignment horizontal="center"/>
    </xf>
    <xf numFmtId="9" fontId="27" fillId="0" borderId="5" xfId="0" applyNumberFormat="1" applyFont="1" applyBorder="1" applyAlignment="1">
      <alignment horizontal="center"/>
    </xf>
    <xf numFmtId="2" fontId="27" fillId="0" borderId="5" xfId="5" applyNumberFormat="1" applyFont="1" applyFill="1" applyBorder="1" applyAlignment="1">
      <alignment horizontal="center"/>
    </xf>
    <xf numFmtId="9" fontId="27" fillId="0" borderId="5" xfId="7" applyFont="1" applyBorder="1" applyAlignment="1">
      <alignment horizontal="center"/>
    </xf>
    <xf numFmtId="0" fontId="27" fillId="0" borderId="5" xfId="0" quotePrefix="1" applyFont="1" applyBorder="1" applyAlignment="1">
      <alignment horizontal="center"/>
    </xf>
    <xf numFmtId="0" fontId="32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quotePrefix="1" applyFont="1" applyBorder="1" applyAlignment="1">
      <alignment horizontal="center"/>
    </xf>
    <xf numFmtId="0" fontId="27" fillId="0" borderId="0" xfId="0" quotePrefix="1" applyFont="1" applyBorder="1" applyAlignment="1">
      <alignment horizontal="center"/>
    </xf>
    <xf numFmtId="11" fontId="0" fillId="0" borderId="0" xfId="0" applyNumberFormat="1" applyBorder="1"/>
    <xf numFmtId="168" fontId="0" fillId="0" borderId="0" xfId="0" applyNumberFormat="1" applyBorder="1"/>
    <xf numFmtId="0" fontId="1" fillId="0" borderId="0" xfId="0" applyFont="1" applyFill="1" applyBorder="1" applyAlignment="1">
      <alignment horizontal="left" vertical="center" wrapText="1"/>
    </xf>
    <xf numFmtId="0" fontId="34" fillId="0" borderId="0" xfId="5" applyFont="1" applyFill="1"/>
    <xf numFmtId="2" fontId="35" fillId="0" borderId="8" xfId="0" applyNumberFormat="1" applyFont="1" applyBorder="1" applyAlignment="1">
      <alignment horizontal="center"/>
    </xf>
    <xf numFmtId="2" fontId="35" fillId="0" borderId="5" xfId="0" applyNumberFormat="1" applyFont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0" borderId="8" xfId="0" applyNumberFormat="1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2" fontId="35" fillId="0" borderId="20" xfId="0" applyNumberFormat="1" applyFont="1" applyFill="1" applyBorder="1" applyAlignment="1">
      <alignment horizontal="center"/>
    </xf>
    <xf numFmtId="165" fontId="35" fillId="0" borderId="0" xfId="0" applyNumberFormat="1" applyFont="1" applyFill="1" applyBorder="1"/>
    <xf numFmtId="0" fontId="35" fillId="0" borderId="0" xfId="0" applyFont="1" applyFill="1" applyBorder="1" applyAlignment="1">
      <alignment horizontal="left" vertical="center"/>
    </xf>
    <xf numFmtId="11" fontId="35" fillId="0" borderId="5" xfId="0" applyNumberFormat="1" applyFont="1" applyFill="1" applyBorder="1" applyAlignment="1">
      <alignment horizontal="center"/>
    </xf>
    <xf numFmtId="0" fontId="35" fillId="0" borderId="0" xfId="5" applyFont="1" applyBorder="1"/>
    <xf numFmtId="0" fontId="35" fillId="0" borderId="0" xfId="0" applyFont="1" applyFill="1" applyBorder="1"/>
    <xf numFmtId="0" fontId="37" fillId="0" borderId="31" xfId="0" applyFont="1" applyFill="1" applyBorder="1"/>
    <xf numFmtId="11" fontId="35" fillId="0" borderId="66" xfId="0" applyNumberFormat="1" applyFont="1" applyFill="1" applyBorder="1" applyAlignment="1">
      <alignment horizontal="center"/>
    </xf>
    <xf numFmtId="11" fontId="35" fillId="0" borderId="59" xfId="0" applyNumberFormat="1" applyFont="1" applyFill="1" applyBorder="1" applyAlignment="1">
      <alignment horizontal="center"/>
    </xf>
    <xf numFmtId="3" fontId="35" fillId="0" borderId="6" xfId="0" applyNumberFormat="1" applyFont="1" applyFill="1" applyBorder="1" applyAlignment="1">
      <alignment horizontal="center"/>
    </xf>
    <xf numFmtId="3" fontId="35" fillId="0" borderId="5" xfId="0" applyNumberFormat="1" applyFont="1" applyFill="1" applyBorder="1" applyAlignment="1">
      <alignment horizontal="center"/>
    </xf>
    <xf numFmtId="3" fontId="35" fillId="0" borderId="31" xfId="0" applyNumberFormat="1" applyFont="1" applyFill="1" applyBorder="1" applyAlignment="1">
      <alignment horizontal="center"/>
    </xf>
    <xf numFmtId="3" fontId="35" fillId="0" borderId="66" xfId="0" applyNumberFormat="1" applyFont="1" applyFill="1" applyBorder="1" applyAlignment="1">
      <alignment horizontal="center"/>
    </xf>
    <xf numFmtId="3" fontId="35" fillId="0" borderId="59" xfId="0" applyNumberFormat="1" applyFont="1" applyFill="1" applyBorder="1" applyAlignment="1">
      <alignment horizontal="center"/>
    </xf>
    <xf numFmtId="3" fontId="35" fillId="4" borderId="6" xfId="0" applyNumberFormat="1" applyFont="1" applyFill="1" applyBorder="1" applyAlignment="1">
      <alignment horizontal="center"/>
    </xf>
    <xf numFmtId="3" fontId="35" fillId="4" borderId="5" xfId="0" applyNumberFormat="1" applyFont="1" applyFill="1" applyBorder="1" applyAlignment="1">
      <alignment horizontal="center"/>
    </xf>
    <xf numFmtId="3" fontId="37" fillId="4" borderId="59" xfId="0" applyNumberFormat="1" applyFont="1" applyFill="1" applyBorder="1" applyAlignment="1">
      <alignment horizontal="center"/>
    </xf>
    <xf numFmtId="0" fontId="35" fillId="0" borderId="0" xfId="0" applyFont="1" applyBorder="1"/>
    <xf numFmtId="2" fontId="35" fillId="0" borderId="0" xfId="0" applyNumberFormat="1" applyFont="1" applyFill="1" applyBorder="1" applyAlignment="1">
      <alignment horizontal="center"/>
    </xf>
    <xf numFmtId="2" fontId="35" fillId="0" borderId="0" xfId="0" applyNumberFormat="1" applyFont="1" applyBorder="1"/>
    <xf numFmtId="43" fontId="35" fillId="0" borderId="0" xfId="1" applyFont="1" applyBorder="1" applyAlignment="1">
      <alignment horizontal="center"/>
    </xf>
    <xf numFmtId="0" fontId="35" fillId="0" borderId="0" xfId="0" applyFont="1" applyFill="1" applyBorder="1" applyAlignment="1">
      <alignment wrapText="1"/>
    </xf>
    <xf numFmtId="3" fontId="35" fillId="0" borderId="61" xfId="0" applyNumberFormat="1" applyFont="1" applyFill="1" applyBorder="1" applyAlignment="1">
      <alignment horizontal="center"/>
    </xf>
    <xf numFmtId="3" fontId="35" fillId="4" borderId="126" xfId="0" applyNumberFormat="1" applyFont="1" applyFill="1" applyBorder="1" applyAlignment="1">
      <alignment horizontal="center"/>
    </xf>
    <xf numFmtId="3" fontId="35" fillId="4" borderId="61" xfId="0" applyNumberFormat="1" applyFont="1" applyFill="1" applyBorder="1" applyAlignment="1">
      <alignment horizontal="center"/>
    </xf>
    <xf numFmtId="3" fontId="37" fillId="4" borderId="70" xfId="0" applyNumberFormat="1" applyFont="1" applyFill="1" applyBorder="1" applyAlignment="1">
      <alignment horizontal="center"/>
    </xf>
    <xf numFmtId="170" fontId="35" fillId="0" borderId="0" xfId="5" applyNumberFormat="1" applyFont="1" applyBorder="1"/>
    <xf numFmtId="2" fontId="35" fillId="2" borderId="12" xfId="0" applyNumberFormat="1" applyFont="1" applyFill="1" applyBorder="1" applyAlignment="1">
      <alignment horizontal="center"/>
    </xf>
    <xf numFmtId="2" fontId="35" fillId="2" borderId="13" xfId="0" applyNumberFormat="1" applyFont="1" applyFill="1" applyBorder="1" applyAlignment="1">
      <alignment horizontal="center"/>
    </xf>
    <xf numFmtId="2" fontId="35" fillId="2" borderId="31" xfId="0" applyNumberFormat="1" applyFont="1" applyFill="1" applyBorder="1" applyAlignment="1">
      <alignment horizontal="center"/>
    </xf>
    <xf numFmtId="2" fontId="35" fillId="2" borderId="30" xfId="0" applyNumberFormat="1" applyFont="1" applyFill="1" applyBorder="1" applyAlignment="1">
      <alignment horizontal="center"/>
    </xf>
    <xf numFmtId="2" fontId="35" fillId="2" borderId="11" xfId="0" applyNumberFormat="1" applyFont="1" applyFill="1" applyBorder="1" applyAlignment="1">
      <alignment horizontal="center"/>
    </xf>
    <xf numFmtId="2" fontId="35" fillId="2" borderId="1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/>
    </xf>
    <xf numFmtId="3" fontId="0" fillId="0" borderId="121" xfId="0" applyNumberFormat="1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3" fontId="0" fillId="0" borderId="59" xfId="0" applyNumberFormat="1" applyFill="1" applyBorder="1" applyAlignment="1">
      <alignment horizontal="center" vertical="center"/>
    </xf>
    <xf numFmtId="2" fontId="0" fillId="0" borderId="121" xfId="0" applyNumberForma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2" fontId="0" fillId="0" borderId="120" xfId="0" applyNumberFormat="1" applyFill="1" applyBorder="1" applyAlignment="1">
      <alignment horizontal="center" vertical="center" wrapText="1"/>
    </xf>
    <xf numFmtId="3" fontId="0" fillId="0" borderId="123" xfId="0" applyNumberFormat="1" applyFill="1" applyBorder="1" applyAlignment="1">
      <alignment horizontal="center" vertical="center"/>
    </xf>
    <xf numFmtId="0" fontId="2" fillId="0" borderId="95" xfId="0" applyFont="1" applyBorder="1" applyAlignment="1">
      <alignment horizontal="center"/>
    </xf>
    <xf numFmtId="0" fontId="2" fillId="0" borderId="93" xfId="0" applyFont="1" applyFill="1" applyBorder="1" applyAlignment="1">
      <alignment horizontal="left" vertical="center"/>
    </xf>
    <xf numFmtId="0" fontId="2" fillId="0" borderId="94" xfId="0" applyFont="1" applyFill="1" applyBorder="1" applyAlignment="1">
      <alignment horizontal="left" vertical="center"/>
    </xf>
    <xf numFmtId="0" fontId="1" fillId="0" borderId="94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2" fontId="0" fillId="0" borderId="93" xfId="0" applyNumberFormat="1" applyFill="1" applyBorder="1" applyAlignment="1">
      <alignment horizontal="center" vertical="center"/>
    </xf>
    <xf numFmtId="2" fontId="0" fillId="0" borderId="94" xfId="0" applyNumberFormat="1" applyFill="1" applyBorder="1" applyAlignment="1">
      <alignment horizontal="center" vertical="center"/>
    </xf>
    <xf numFmtId="2" fontId="0" fillId="0" borderId="112" xfId="0" applyNumberFormat="1" applyFill="1" applyBorder="1" applyAlignment="1">
      <alignment horizontal="center" vertical="center"/>
    </xf>
    <xf numFmtId="2" fontId="0" fillId="0" borderId="118" xfId="0" applyNumberFormat="1" applyFill="1" applyBorder="1" applyAlignment="1">
      <alignment horizontal="center" vertical="center"/>
    </xf>
    <xf numFmtId="2" fontId="8" fillId="0" borderId="118" xfId="0" quotePrefix="1" applyNumberFormat="1" applyFont="1" applyFill="1" applyBorder="1" applyAlignment="1">
      <alignment horizontal="center" vertical="center"/>
    </xf>
    <xf numFmtId="2" fontId="8" fillId="0" borderId="94" xfId="0" quotePrefix="1" applyNumberFormat="1" applyFont="1" applyFill="1" applyBorder="1" applyAlignment="1">
      <alignment horizontal="center" vertical="center"/>
    </xf>
    <xf numFmtId="2" fontId="8" fillId="0" borderId="112" xfId="0" quotePrefix="1" applyNumberFormat="1" applyFont="1" applyFill="1" applyBorder="1" applyAlignment="1">
      <alignment horizontal="center" vertical="center"/>
    </xf>
    <xf numFmtId="2" fontId="8" fillId="0" borderId="39" xfId="0" quotePrefix="1" applyNumberFormat="1" applyFont="1" applyFill="1" applyBorder="1" applyAlignment="1">
      <alignment horizontal="center" vertical="center"/>
    </xf>
    <xf numFmtId="2" fontId="1" fillId="0" borderId="93" xfId="0" quotePrefix="1" applyNumberFormat="1" applyFont="1" applyFill="1" applyBorder="1" applyAlignment="1">
      <alignment horizontal="center" vertical="center"/>
    </xf>
    <xf numFmtId="2" fontId="1" fillId="0" borderId="94" xfId="0" quotePrefix="1" applyNumberFormat="1" applyFont="1" applyFill="1" applyBorder="1" applyAlignment="1">
      <alignment horizontal="center" vertical="center"/>
    </xf>
    <xf numFmtId="2" fontId="1" fillId="0" borderId="112" xfId="0" quotePrefix="1" applyNumberFormat="1" applyFont="1" applyFill="1" applyBorder="1" applyAlignment="1">
      <alignment horizontal="center" vertical="center"/>
    </xf>
    <xf numFmtId="0" fontId="0" fillId="0" borderId="118" xfId="0" quotePrefix="1" applyFill="1" applyBorder="1" applyAlignment="1">
      <alignment horizontal="center" vertical="center"/>
    </xf>
    <xf numFmtId="0" fontId="0" fillId="0" borderId="94" xfId="0" quotePrefix="1" applyFill="1" applyBorder="1" applyAlignment="1">
      <alignment horizontal="center" vertical="center"/>
    </xf>
    <xf numFmtId="0" fontId="0" fillId="0" borderId="112" xfId="0" quotePrefix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5" borderId="80" xfId="0" applyFill="1" applyBorder="1" applyAlignment="1">
      <alignment horizontal="center" vertical="center"/>
    </xf>
    <xf numFmtId="0" fontId="1" fillId="5" borderId="80" xfId="0" quotePrefix="1" applyFont="1" applyFill="1" applyBorder="1" applyAlignment="1">
      <alignment horizontal="center" vertical="center"/>
    </xf>
    <xf numFmtId="0" fontId="1" fillId="5" borderId="80" xfId="0" applyFont="1" applyFill="1" applyBorder="1" applyAlignment="1">
      <alignment horizontal="center" vertical="center"/>
    </xf>
    <xf numFmtId="0" fontId="1" fillId="5" borderId="9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5" borderId="7" xfId="0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00" xfId="0" applyFont="1" applyFill="1" applyBorder="1" applyAlignment="1">
      <alignment horizontal="center" vertical="center" wrapText="1"/>
    </xf>
    <xf numFmtId="2" fontId="0" fillId="5" borderId="24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0" xfId="0" applyFont="1" applyFill="1" applyBorder="1" applyAlignment="1">
      <alignment horizontal="center" vertical="center" wrapText="1"/>
    </xf>
    <xf numFmtId="2" fontId="0" fillId="0" borderId="24" xfId="0" applyNumberFormat="1" applyFill="1" applyBorder="1" applyAlignment="1">
      <alignment horizontal="center" vertical="center"/>
    </xf>
    <xf numFmtId="2" fontId="8" fillId="0" borderId="66" xfId="0" quotePrefix="1" applyNumberFormat="1" applyFont="1" applyFill="1" applyBorder="1" applyAlignment="1">
      <alignment horizontal="center" vertical="center"/>
    </xf>
    <xf numFmtId="2" fontId="8" fillId="0" borderId="5" xfId="0" quotePrefix="1" applyNumberFormat="1" applyFont="1" applyFill="1" applyBorder="1" applyAlignment="1">
      <alignment horizontal="center" vertical="center"/>
    </xf>
    <xf numFmtId="2" fontId="8" fillId="0" borderId="59" xfId="0" quotePrefix="1" applyNumberFormat="1" applyFont="1" applyFill="1" applyBorder="1" applyAlignment="1">
      <alignment horizontal="center" vertical="center"/>
    </xf>
    <xf numFmtId="2" fontId="8" fillId="0" borderId="6" xfId="0" quotePrefix="1" applyNumberFormat="1" applyFont="1" applyFill="1" applyBorder="1" applyAlignment="1">
      <alignment horizontal="center" vertical="center"/>
    </xf>
    <xf numFmtId="2" fontId="8" fillId="0" borderId="11" xfId="0" quotePrefix="1" applyNumberFormat="1" applyFont="1" applyFill="1" applyBorder="1" applyAlignment="1">
      <alignment horizontal="center" vertical="center"/>
    </xf>
    <xf numFmtId="2" fontId="1" fillId="0" borderId="24" xfId="0" quotePrefix="1" applyNumberFormat="1" applyFont="1" applyFill="1" applyBorder="1" applyAlignment="1">
      <alignment horizontal="center" vertical="center"/>
    </xf>
    <xf numFmtId="2" fontId="1" fillId="0" borderId="5" xfId="0" quotePrefix="1" applyNumberFormat="1" applyFont="1" applyFill="1" applyBorder="1" applyAlignment="1">
      <alignment horizontal="center" vertical="center"/>
    </xf>
    <xf numFmtId="2" fontId="1" fillId="0" borderId="59" xfId="0" quotePrefix="1" applyNumberFormat="1" applyFont="1" applyFill="1" applyBorder="1" applyAlignment="1">
      <alignment horizontal="center" vertical="center"/>
    </xf>
    <xf numFmtId="2" fontId="8" fillId="0" borderId="31" xfId="0" quotePrefix="1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4" fontId="0" fillId="0" borderId="66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1" fillId="5" borderId="7" xfId="0" quotePrefix="1" applyFont="1" applyFill="1" applyBorder="1" applyAlignment="1">
      <alignment horizontal="center" vertical="center"/>
    </xf>
    <xf numFmtId="2" fontId="1" fillId="0" borderId="66" xfId="0" quotePrefix="1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1" xfId="0" applyFont="1" applyFill="1" applyBorder="1" applyAlignment="1">
      <alignment horizontal="center" vertical="center" wrapText="1"/>
    </xf>
    <xf numFmtId="2" fontId="0" fillId="0" borderId="25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87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93" xfId="0" applyFont="1" applyFill="1" applyBorder="1" applyAlignment="1">
      <alignment horizontal="left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72" fontId="2" fillId="2" borderId="104" xfId="0" applyNumberFormat="1" applyFont="1" applyFill="1" applyBorder="1" applyAlignment="1">
      <alignment horizontal="center" vertical="center"/>
    </xf>
    <xf numFmtId="172" fontId="29" fillId="2" borderId="1" xfId="0" applyNumberFormat="1" applyFont="1" applyFill="1" applyBorder="1" applyAlignment="1">
      <alignment horizontal="center" vertical="center"/>
    </xf>
    <xf numFmtId="172" fontId="2" fillId="2" borderId="112" xfId="0" applyNumberFormat="1" applyFont="1" applyFill="1" applyBorder="1" applyAlignment="1">
      <alignment horizontal="center" vertical="center"/>
    </xf>
    <xf numFmtId="172" fontId="2" fillId="2" borderId="119" xfId="0" applyNumberFormat="1" applyFont="1" applyFill="1" applyBorder="1" applyAlignment="1">
      <alignment horizontal="center" vertical="center"/>
    </xf>
    <xf numFmtId="172" fontId="2" fillId="2" borderId="1" xfId="0" applyNumberFormat="1" applyFont="1" applyFill="1" applyBorder="1" applyAlignment="1">
      <alignment horizontal="center" vertical="center"/>
    </xf>
    <xf numFmtId="172" fontId="2" fillId="2" borderId="39" xfId="0" applyNumberFormat="1" applyFont="1" applyFill="1" applyBorder="1" applyAlignment="1">
      <alignment horizontal="center" vertical="center"/>
    </xf>
    <xf numFmtId="3" fontId="2" fillId="2" borderId="119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3" fontId="2" fillId="2" borderId="112" xfId="0" applyNumberFormat="1" applyFont="1" applyFill="1" applyBorder="1" applyAlignment="1">
      <alignment horizontal="center" vertical="center"/>
    </xf>
    <xf numFmtId="2" fontId="2" fillId="2" borderId="119" xfId="0" applyNumberFormat="1" applyFont="1" applyFill="1" applyBorder="1" applyAlignment="1">
      <alignment horizontal="center" vertical="center"/>
    </xf>
    <xf numFmtId="2" fontId="29" fillId="2" borderId="1" xfId="0" applyNumberFormat="1" applyFont="1" applyFill="1" applyBorder="1" applyAlignment="1">
      <alignment horizontal="center" vertical="center"/>
    </xf>
    <xf numFmtId="2" fontId="2" fillId="2" borderId="112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39" xfId="0" applyNumberFormat="1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left" vertical="center"/>
    </xf>
    <xf numFmtId="0" fontId="23" fillId="6" borderId="80" xfId="0" applyFont="1" applyFill="1" applyBorder="1" applyAlignment="1">
      <alignment horizontal="center" vertical="center"/>
    </xf>
    <xf numFmtId="0" fontId="23" fillId="6" borderId="80" xfId="0" quotePrefix="1" applyFont="1" applyFill="1" applyBorder="1" applyAlignment="1">
      <alignment horizontal="center" vertical="center"/>
    </xf>
    <xf numFmtId="0" fontId="23" fillId="6" borderId="99" xfId="0" applyFont="1" applyFill="1" applyBorder="1" applyAlignment="1">
      <alignment horizontal="center" vertical="center"/>
    </xf>
    <xf numFmtId="2" fontId="23" fillId="6" borderId="37" xfId="0" applyNumberFormat="1" applyFont="1" applyFill="1" applyBorder="1" applyAlignment="1">
      <alignment horizontal="center" vertical="center"/>
    </xf>
    <xf numFmtId="2" fontId="23" fillId="6" borderId="46" xfId="0" applyNumberFormat="1" applyFont="1" applyFill="1" applyBorder="1" applyAlignment="1">
      <alignment horizontal="center" vertical="center"/>
    </xf>
    <xf numFmtId="2" fontId="23" fillId="6" borderId="113" xfId="0" applyNumberFormat="1" applyFont="1" applyFill="1" applyBorder="1" applyAlignment="1">
      <alignment horizontal="center" vertical="center"/>
    </xf>
    <xf numFmtId="2" fontId="23" fillId="6" borderId="116" xfId="0" applyNumberFormat="1" applyFont="1" applyFill="1" applyBorder="1" applyAlignment="1">
      <alignment horizontal="center" vertical="center"/>
    </xf>
    <xf numFmtId="2" fontId="23" fillId="6" borderId="99" xfId="0" applyNumberFormat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00" xfId="0" applyFont="1" applyFill="1" applyBorder="1" applyAlignment="1">
      <alignment horizontal="center" vertical="center"/>
    </xf>
    <xf numFmtId="2" fontId="0" fillId="6" borderId="24" xfId="0" applyNumberFormat="1" applyFill="1" applyBorder="1" applyAlignment="1">
      <alignment horizontal="center" vertical="center"/>
    </xf>
    <xf numFmtId="0" fontId="1" fillId="6" borderId="7" xfId="0" quotePrefix="1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79" xfId="0" applyFont="1" applyFill="1" applyBorder="1" applyAlignment="1">
      <alignment horizontal="center" vertical="center"/>
    </xf>
    <xf numFmtId="2" fontId="0" fillId="6" borderId="114" xfId="0" applyNumberFormat="1" applyFill="1" applyBorder="1" applyAlignment="1">
      <alignment horizontal="center" vertical="center"/>
    </xf>
    <xf numFmtId="2" fontId="0" fillId="6" borderId="38" xfId="0" applyNumberFormat="1" applyFill="1" applyBorder="1" applyAlignment="1">
      <alignment horizontal="center" vertical="center"/>
    </xf>
    <xf numFmtId="2" fontId="0" fillId="6" borderId="115" xfId="0" applyNumberFormat="1" applyFill="1" applyBorder="1" applyAlignment="1">
      <alignment horizontal="center" vertical="center"/>
    </xf>
    <xf numFmtId="2" fontId="0" fillId="6" borderId="108" xfId="0" applyNumberFormat="1" applyFill="1" applyBorder="1" applyAlignment="1">
      <alignment horizontal="center" vertical="center"/>
    </xf>
    <xf numFmtId="2" fontId="8" fillId="6" borderId="108" xfId="0" quotePrefix="1" applyNumberFormat="1" applyFont="1" applyFill="1" applyBorder="1" applyAlignment="1">
      <alignment horizontal="center" vertical="center"/>
    </xf>
    <xf numFmtId="2" fontId="8" fillId="6" borderId="38" xfId="0" quotePrefix="1" applyNumberFormat="1" applyFont="1" applyFill="1" applyBorder="1" applyAlignment="1">
      <alignment horizontal="center" vertical="center"/>
    </xf>
    <xf numFmtId="2" fontId="8" fillId="6" borderId="79" xfId="0" quotePrefix="1" applyNumberFormat="1" applyFont="1" applyFill="1" applyBorder="1" applyAlignment="1">
      <alignment horizontal="center" vertical="center"/>
    </xf>
    <xf numFmtId="2" fontId="1" fillId="6" borderId="114" xfId="0" quotePrefix="1" applyNumberFormat="1" applyFont="1" applyFill="1" applyBorder="1" applyAlignment="1">
      <alignment horizontal="center" vertical="center"/>
    </xf>
    <xf numFmtId="2" fontId="1" fillId="6" borderId="38" xfId="0" quotePrefix="1" applyNumberFormat="1" applyFont="1" applyFill="1" applyBorder="1" applyAlignment="1">
      <alignment horizontal="center" vertical="center"/>
    </xf>
    <xf numFmtId="2" fontId="1" fillId="6" borderId="115" xfId="0" quotePrefix="1" applyNumberFormat="1" applyFont="1" applyFill="1" applyBorder="1" applyAlignment="1">
      <alignment horizontal="center" vertical="center"/>
    </xf>
    <xf numFmtId="2" fontId="0" fillId="6" borderId="108" xfId="0" quotePrefix="1" applyNumberFormat="1" applyFill="1" applyBorder="1" applyAlignment="1">
      <alignment horizontal="center" vertical="center"/>
    </xf>
    <xf numFmtId="2" fontId="0" fillId="6" borderId="38" xfId="0" quotePrefix="1" applyNumberFormat="1" applyFill="1" applyBorder="1" applyAlignment="1">
      <alignment horizontal="center" vertical="center"/>
    </xf>
    <xf numFmtId="2" fontId="0" fillId="6" borderId="115" xfId="0" quotePrefix="1" applyNumberFormat="1" applyFill="1" applyBorder="1" applyAlignment="1">
      <alignment horizontal="center" vertical="center"/>
    </xf>
    <xf numFmtId="2" fontId="8" fillId="6" borderId="124" xfId="0" quotePrefix="1" applyNumberFormat="1" applyFont="1" applyFill="1" applyBorder="1" applyAlignment="1">
      <alignment horizontal="center" vertical="center"/>
    </xf>
    <xf numFmtId="2" fontId="8" fillId="6" borderId="20" xfId="0" quotePrefix="1" applyNumberFormat="1" applyFont="1" applyFill="1" applyBorder="1" applyAlignment="1">
      <alignment horizontal="center" vertical="center"/>
    </xf>
    <xf numFmtId="2" fontId="8" fillId="6" borderId="115" xfId="0" quotePrefix="1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172" fontId="2" fillId="2" borderId="127" xfId="0" applyNumberFormat="1" applyFont="1" applyFill="1" applyBorder="1" applyAlignment="1">
      <alignment horizontal="center" vertical="center"/>
    </xf>
    <xf numFmtId="3" fontId="2" fillId="2" borderId="127" xfId="0" applyNumberFormat="1" applyFont="1" applyFill="1" applyBorder="1" applyAlignment="1">
      <alignment horizontal="center" vertical="center"/>
    </xf>
    <xf numFmtId="2" fontId="2" fillId="2" borderId="127" xfId="0" applyNumberFormat="1" applyFont="1" applyFill="1" applyBorder="1" applyAlignment="1">
      <alignment horizontal="center" vertical="center"/>
    </xf>
    <xf numFmtId="2" fontId="2" fillId="2" borderId="84" xfId="0" applyNumberFormat="1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172" fontId="2" fillId="2" borderId="84" xfId="0" applyNumberFormat="1" applyFont="1" applyFill="1" applyBorder="1" applyAlignment="1">
      <alignment horizontal="center" vertical="center"/>
    </xf>
    <xf numFmtId="0" fontId="1" fillId="0" borderId="100" xfId="0" applyFont="1" applyFill="1" applyBorder="1" applyAlignment="1">
      <alignment horizontal="center" vertical="center"/>
    </xf>
    <xf numFmtId="0" fontId="1" fillId="0" borderId="7" xfId="0" quotePrefix="1" applyFont="1" applyFill="1" applyBorder="1" applyAlignment="1">
      <alignment horizontal="center" vertical="center"/>
    </xf>
    <xf numFmtId="172" fontId="29" fillId="2" borderId="105" xfId="0" applyNumberFormat="1" applyFont="1" applyFill="1" applyBorder="1" applyAlignment="1">
      <alignment horizontal="center" vertical="center"/>
    </xf>
    <xf numFmtId="2" fontId="29" fillId="2" borderId="105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2" fontId="0" fillId="0" borderId="114" xfId="0" applyNumberFormat="1" applyFill="1" applyBorder="1" applyAlignment="1">
      <alignment horizontal="center" vertical="center"/>
    </xf>
    <xf numFmtId="2" fontId="0" fillId="0" borderId="38" xfId="0" applyNumberFormat="1" applyFill="1" applyBorder="1" applyAlignment="1">
      <alignment horizontal="center" vertical="center"/>
    </xf>
    <xf numFmtId="2" fontId="0" fillId="0" borderId="115" xfId="0" applyNumberFormat="1" applyFill="1" applyBorder="1" applyAlignment="1">
      <alignment horizontal="center" vertical="center"/>
    </xf>
    <xf numFmtId="2" fontId="0" fillId="0" borderId="108" xfId="0" applyNumberFormat="1" applyFill="1" applyBorder="1" applyAlignment="1">
      <alignment horizontal="center" vertical="center"/>
    </xf>
    <xf numFmtId="2" fontId="8" fillId="0" borderId="108" xfId="0" quotePrefix="1" applyNumberFormat="1" applyFont="1" applyFill="1" applyBorder="1" applyAlignment="1">
      <alignment horizontal="center" vertical="center"/>
    </xf>
    <xf numFmtId="2" fontId="8" fillId="0" borderId="38" xfId="0" quotePrefix="1" applyNumberFormat="1" applyFont="1" applyFill="1" applyBorder="1" applyAlignment="1">
      <alignment horizontal="center" vertical="center"/>
    </xf>
    <xf numFmtId="2" fontId="8" fillId="0" borderId="79" xfId="0" quotePrefix="1" applyNumberFormat="1" applyFont="1" applyFill="1" applyBorder="1" applyAlignment="1">
      <alignment horizontal="center" vertical="center"/>
    </xf>
    <xf numFmtId="2" fontId="1" fillId="0" borderId="114" xfId="0" quotePrefix="1" applyNumberFormat="1" applyFont="1" applyFill="1" applyBorder="1" applyAlignment="1">
      <alignment horizontal="center" vertical="center"/>
    </xf>
    <xf numFmtId="2" fontId="1" fillId="0" borderId="38" xfId="0" quotePrefix="1" applyNumberFormat="1" applyFont="1" applyFill="1" applyBorder="1" applyAlignment="1">
      <alignment horizontal="center" vertical="center"/>
    </xf>
    <xf numFmtId="2" fontId="1" fillId="0" borderId="115" xfId="0" quotePrefix="1" applyNumberFormat="1" applyFont="1" applyFill="1" applyBorder="1" applyAlignment="1">
      <alignment horizontal="center" vertical="center"/>
    </xf>
    <xf numFmtId="2" fontId="0" fillId="0" borderId="108" xfId="0" quotePrefix="1" applyNumberFormat="1" applyFill="1" applyBorder="1" applyAlignment="1">
      <alignment horizontal="center" vertical="center"/>
    </xf>
    <xf numFmtId="2" fontId="0" fillId="0" borderId="38" xfId="0" quotePrefix="1" applyNumberFormat="1" applyFill="1" applyBorder="1" applyAlignment="1">
      <alignment horizontal="center" vertical="center"/>
    </xf>
    <xf numFmtId="2" fontId="0" fillId="0" borderId="115" xfId="0" quotePrefix="1" applyNumberFormat="1" applyFill="1" applyBorder="1" applyAlignment="1">
      <alignment horizontal="center" vertical="center"/>
    </xf>
    <xf numFmtId="2" fontId="8" fillId="0" borderId="124" xfId="0" quotePrefix="1" applyNumberFormat="1" applyFont="1" applyFill="1" applyBorder="1" applyAlignment="1">
      <alignment horizontal="center" vertical="center"/>
    </xf>
    <xf numFmtId="2" fontId="8" fillId="0" borderId="20" xfId="0" quotePrefix="1" applyNumberFormat="1" applyFont="1" applyFill="1" applyBorder="1" applyAlignment="1">
      <alignment horizontal="center" vertical="center"/>
    </xf>
    <xf numFmtId="2" fontId="8" fillId="0" borderId="115" xfId="0" quotePrefix="1" applyNumberFormat="1" applyFont="1" applyFill="1" applyBorder="1" applyAlignment="1">
      <alignment horizontal="center" vertical="center"/>
    </xf>
    <xf numFmtId="0" fontId="27" fillId="0" borderId="128" xfId="0" applyFont="1" applyFill="1" applyBorder="1"/>
    <xf numFmtId="0" fontId="1" fillId="0" borderId="92" xfId="0" applyFont="1" applyBorder="1" applyAlignment="1">
      <alignment horizontal="center"/>
    </xf>
    <xf numFmtId="0" fontId="0" fillId="0" borderId="92" xfId="0" applyBorder="1" applyAlignment="1">
      <alignment horizontal="center"/>
    </xf>
    <xf numFmtId="11" fontId="0" fillId="0" borderId="92" xfId="0" applyNumberFormat="1" applyBorder="1" applyAlignment="1">
      <alignment horizontal="center"/>
    </xf>
    <xf numFmtId="0" fontId="37" fillId="0" borderId="0" xfId="0" applyFont="1" applyFill="1" applyBorder="1"/>
    <xf numFmtId="0" fontId="1" fillId="6" borderId="17" xfId="0" quotePrefix="1" applyFont="1" applyFill="1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/>
    </xf>
    <xf numFmtId="0" fontId="2" fillId="0" borderId="116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10" xfId="0" applyFont="1" applyFill="1" applyBorder="1" applyAlignment="1">
      <alignment horizontal="center"/>
    </xf>
    <xf numFmtId="0" fontId="2" fillId="0" borderId="122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11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2" borderId="93" xfId="0" applyFont="1" applyFill="1" applyBorder="1" applyAlignment="1">
      <alignment horizontal="left" vertical="center"/>
    </xf>
    <xf numFmtId="0" fontId="2" fillId="2" borderId="94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93" xfId="0" applyFont="1" applyFill="1" applyBorder="1" applyAlignment="1">
      <alignment horizontal="center"/>
    </xf>
    <xf numFmtId="0" fontId="2" fillId="0" borderId="9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66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92" xfId="0" applyFont="1" applyFill="1" applyBorder="1" applyAlignment="1">
      <alignment horizontal="left" wrapText="1"/>
    </xf>
    <xf numFmtId="0" fontId="1" fillId="0" borderId="71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81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left" vertical="center" wrapText="1"/>
    </xf>
    <xf numFmtId="0" fontId="4" fillId="0" borderId="0" xfId="5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1" fillId="0" borderId="5" xfId="5" applyFont="1" applyBorder="1" applyAlignment="1">
      <alignment horizontal="center" vertical="center" wrapText="1"/>
    </xf>
    <xf numFmtId="0" fontId="1" fillId="0" borderId="58" xfId="5" applyFont="1" applyBorder="1" applyAlignment="1">
      <alignment horizontal="center" vertical="center" wrapText="1"/>
    </xf>
    <xf numFmtId="0" fontId="1" fillId="0" borderId="60" xfId="5" applyFont="1" applyBorder="1" applyAlignment="1">
      <alignment horizontal="center" vertical="center" wrapText="1"/>
    </xf>
    <xf numFmtId="0" fontId="1" fillId="0" borderId="68" xfId="5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 wrapText="1"/>
    </xf>
    <xf numFmtId="0" fontId="2" fillId="0" borderId="43" xfId="0" applyFont="1" applyBorder="1" applyAlignment="1">
      <alignment horizontal="center" wrapText="1"/>
    </xf>
    <xf numFmtId="0" fontId="2" fillId="0" borderId="4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5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2" fillId="0" borderId="37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47" xfId="0" applyFont="1" applyBorder="1" applyAlignment="1">
      <alignment horizontal="center"/>
    </xf>
    <xf numFmtId="0" fontId="2" fillId="2" borderId="27" xfId="0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wrapText="1"/>
    </xf>
    <xf numFmtId="0" fontId="8" fillId="0" borderId="50" xfId="0" applyFont="1" applyBorder="1" applyAlignment="1">
      <alignment horizontal="left"/>
    </xf>
    <xf numFmtId="3" fontId="0" fillId="0" borderId="27" xfId="0" applyNumberForma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0" fontId="2" fillId="0" borderId="40" xfId="2" applyFont="1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2" fillId="0" borderId="4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2" fillId="0" borderId="42" xfId="2" applyFont="1" applyBorder="1" applyAlignment="1">
      <alignment horizontal="center" wrapText="1"/>
    </xf>
    <xf numFmtId="0" fontId="2" fillId="0" borderId="43" xfId="2" applyFont="1" applyBorder="1" applyAlignment="1">
      <alignment horizontal="center" wrapText="1"/>
    </xf>
    <xf numFmtId="0" fontId="2" fillId="0" borderId="44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45" xfId="2" applyFont="1" applyBorder="1" applyAlignment="1">
      <alignment horizontal="center"/>
    </xf>
    <xf numFmtId="0" fontId="2" fillId="0" borderId="46" xfId="2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5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0" fontId="2" fillId="0" borderId="34" xfId="0" applyFont="1" applyFill="1" applyBorder="1" applyAlignment="1">
      <alignment horizontal="center" wrapText="1"/>
    </xf>
    <xf numFmtId="3" fontId="0" fillId="0" borderId="8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/>
    </xf>
    <xf numFmtId="0" fontId="2" fillId="0" borderId="44" xfId="2" applyFont="1" applyBorder="1" applyAlignment="1">
      <alignment horizontal="center"/>
    </xf>
    <xf numFmtId="0" fontId="2" fillId="0" borderId="15" xfId="2" applyFont="1" applyBorder="1" applyAlignment="1">
      <alignment horizontal="center"/>
    </xf>
    <xf numFmtId="0" fontId="9" fillId="0" borderId="40" xfId="2" applyFont="1" applyBorder="1" applyAlignment="1">
      <alignment horizontal="center"/>
    </xf>
    <xf numFmtId="0" fontId="9" fillId="0" borderId="41" xfId="2" applyFont="1" applyBorder="1" applyAlignment="1">
      <alignment horizontal="center"/>
    </xf>
    <xf numFmtId="0" fontId="2" fillId="0" borderId="49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10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31" xfId="5" applyFont="1" applyFill="1" applyBorder="1" applyAlignment="1">
      <alignment horizontal="center"/>
    </xf>
    <xf numFmtId="0" fontId="2" fillId="0" borderId="72" xfId="5" applyFont="1" applyFill="1" applyBorder="1" applyAlignment="1">
      <alignment horizontal="center"/>
    </xf>
    <xf numFmtId="0" fontId="2" fillId="0" borderId="6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/>
    </xf>
    <xf numFmtId="0" fontId="2" fillId="0" borderId="38" xfId="5" applyFont="1" applyFill="1" applyBorder="1" applyAlignment="1">
      <alignment horizontal="center"/>
    </xf>
    <xf numFmtId="0" fontId="2" fillId="0" borderId="77" xfId="5" applyFont="1" applyFill="1" applyBorder="1" applyAlignment="1">
      <alignment horizontal="center"/>
    </xf>
    <xf numFmtId="0" fontId="2" fillId="0" borderId="75" xfId="5" applyFont="1" applyFill="1" applyBorder="1" applyAlignment="1">
      <alignment horizontal="center"/>
    </xf>
    <xf numFmtId="0" fontId="2" fillId="0" borderId="4" xfId="5" applyFont="1" applyFill="1" applyBorder="1" applyAlignment="1">
      <alignment horizontal="center"/>
    </xf>
    <xf numFmtId="0" fontId="2" fillId="0" borderId="5" xfId="5" applyFont="1" applyFill="1" applyBorder="1" applyAlignment="1"/>
    <xf numFmtId="0" fontId="2" fillId="0" borderId="31" xfId="5" applyFont="1" applyFill="1" applyBorder="1" applyAlignment="1"/>
    <xf numFmtId="0" fontId="2" fillId="0" borderId="6" xfId="5" applyFont="1" applyFill="1" applyBorder="1" applyAlignment="1"/>
    <xf numFmtId="0" fontId="2" fillId="0" borderId="72" xfId="5" applyFont="1" applyFill="1" applyBorder="1" applyAlignment="1"/>
    <xf numFmtId="0" fontId="2" fillId="0" borderId="8" xfId="5" applyFont="1" applyFill="1" applyBorder="1" applyAlignment="1"/>
    <xf numFmtId="0" fontId="2" fillId="0" borderId="32" xfId="5" applyFont="1" applyFill="1" applyBorder="1" applyAlignment="1"/>
    <xf numFmtId="0" fontId="2" fillId="0" borderId="9" xfId="5" applyFont="1" applyFill="1" applyBorder="1" applyAlignment="1"/>
    <xf numFmtId="0" fontId="2" fillId="0" borderId="73" xfId="5" applyFont="1" applyFill="1" applyBorder="1" applyAlignment="1"/>
    <xf numFmtId="0" fontId="30" fillId="0" borderId="32" xfId="5" applyFont="1" applyFill="1" applyBorder="1" applyAlignment="1"/>
    <xf numFmtId="0" fontId="30" fillId="0" borderId="73" xfId="5" applyFont="1" applyFill="1" applyBorder="1" applyAlignment="1"/>
    <xf numFmtId="0" fontId="30" fillId="0" borderId="9" xfId="5" applyFont="1" applyFill="1" applyBorder="1" applyAlignment="1"/>
    <xf numFmtId="0" fontId="2" fillId="0" borderId="5" xfId="5" applyFont="1" applyFill="1" applyBorder="1" applyAlignment="1">
      <alignment horizontal="center"/>
    </xf>
    <xf numFmtId="0" fontId="2" fillId="0" borderId="8" xfId="5" applyFont="1" applyFill="1" applyBorder="1" applyAlignment="1">
      <alignment horizontal="center"/>
    </xf>
    <xf numFmtId="0" fontId="2" fillId="0" borderId="32" xfId="5" applyFont="1" applyFill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95" xfId="0" applyFont="1" applyBorder="1" applyAlignment="1">
      <alignment horizontal="center"/>
    </xf>
  </cellXfs>
  <cellStyles count="8">
    <cellStyle name="Comma" xfId="1" builtinId="3"/>
    <cellStyle name="Comma 2" xfId="4"/>
    <cellStyle name="Normal" xfId="0" builtinId="0"/>
    <cellStyle name="Normal 2" xfId="5"/>
    <cellStyle name="Normal 3" xfId="3"/>
    <cellStyle name="Normal_Sheet1" xfId="2"/>
    <cellStyle name="Percent" xfId="7" builtinId="5"/>
    <cellStyle name="Percent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J\H\Hearc\129426\Air%20Permit%20Application\Resubmittal%20-%20May%2011,%202015\HCP%20PTE%20Calculations_2015.05.11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E Summary"/>
      <sheetName val="HAPs Summary"/>
      <sheetName val="Storage Tanks"/>
      <sheetName val="Process HAP Data"/>
      <sheetName val="Combustion HAPs &amp; GHGs"/>
      <sheetName val="Equipment Leaks (FS004&amp;FS010)"/>
      <sheetName val="Wetcake Emissions"/>
      <sheetName val="Truck Traffic (FS001&amp;FS009)"/>
      <sheetName val="Grain&amp;DDG (FS007&amp;008&amp;013)"/>
      <sheetName val="CoolingTowers (FS011&amp;FS012)"/>
      <sheetName val="SV028"/>
      <sheetName val="SV027"/>
      <sheetName val="SV026"/>
      <sheetName val="SV025"/>
      <sheetName val="SV024"/>
      <sheetName val="SV022"/>
      <sheetName val="SV021"/>
      <sheetName val="SV020"/>
      <sheetName val="SV018"/>
      <sheetName val="SV016"/>
      <sheetName val="SV015"/>
      <sheetName val="SV014"/>
      <sheetName val="SV007"/>
      <sheetName val="SV003"/>
      <sheetName val="Facility Emissions Summary 3"/>
      <sheetName val="Facility Emissions Summary 4"/>
    </sheetNames>
    <sheetDataSet>
      <sheetData sheetId="0">
        <row r="26">
          <cell r="F26">
            <v>0.30910141912373779</v>
          </cell>
          <cell r="G26">
            <v>1.0414340121245935</v>
          </cell>
          <cell r="H26">
            <v>1.0414340121245935</v>
          </cell>
          <cell r="I26">
            <v>6.1820283824747566E-2</v>
          </cell>
          <cell r="J26">
            <v>0.20828680242491873</v>
          </cell>
          <cell r="K26">
            <v>0.20828680242491873</v>
          </cell>
          <cell r="L26">
            <v>1.5174069666074401E-2</v>
          </cell>
          <cell r="M26">
            <v>5.1124942413389135E-2</v>
          </cell>
          <cell r="N26">
            <v>5.1124942413389135E-2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Y197"/>
  <sheetViews>
    <sheetView tabSelected="1" view="pageBreakPreview" topLeftCell="T1" zoomScale="85" zoomScaleNormal="110" zoomScaleSheetLayoutView="85" workbookViewId="0">
      <selection activeCell="AE12" sqref="AE12"/>
    </sheetView>
  </sheetViews>
  <sheetFormatPr defaultRowHeight="12.75" x14ac:dyDescent="0.2"/>
  <cols>
    <col min="1" max="1" width="9.7109375" customWidth="1"/>
    <col min="2" max="2" width="10.85546875" customWidth="1"/>
    <col min="3" max="3" width="9.7109375" customWidth="1"/>
    <col min="4" max="4" width="21.140625" customWidth="1"/>
    <col min="5" max="5" width="6.28515625" style="1" bestFit="1" customWidth="1"/>
    <col min="6" max="6" width="6.5703125" style="1" bestFit="1" customWidth="1"/>
    <col min="7" max="7" width="6.140625" style="1" bestFit="1" customWidth="1"/>
    <col min="8" max="8" width="6.28515625" style="1" bestFit="1" customWidth="1"/>
    <col min="9" max="9" width="6.5703125" style="1" bestFit="1" customWidth="1"/>
    <col min="10" max="10" width="6.140625" style="1" bestFit="1" customWidth="1"/>
    <col min="11" max="11" width="6.28515625" style="1" bestFit="1" customWidth="1"/>
    <col min="12" max="12" width="6.5703125" style="1" bestFit="1" customWidth="1"/>
    <col min="13" max="13" width="6.140625" style="1" bestFit="1" customWidth="1"/>
    <col min="14" max="15" width="7.140625" style="1" bestFit="1" customWidth="1"/>
    <col min="16" max="16" width="7.140625" style="1" customWidth="1"/>
    <col min="17" max="17" width="6.28515625" style="1" bestFit="1" customWidth="1"/>
    <col min="18" max="18" width="6.5703125" style="1" bestFit="1" customWidth="1"/>
    <col min="19" max="19" width="7.140625" style="1" bestFit="1" customWidth="1"/>
    <col min="20" max="20" width="9.7109375" customWidth="1"/>
    <col min="21" max="21" width="10.85546875" customWidth="1"/>
    <col min="22" max="22" width="9.7109375" customWidth="1"/>
    <col min="23" max="23" width="21.140625" customWidth="1"/>
    <col min="24" max="24" width="6.28515625" style="1" bestFit="1" customWidth="1"/>
    <col min="25" max="26" width="5.5703125" style="1" bestFit="1" customWidth="1"/>
    <col min="27" max="27" width="6.28515625" style="1" bestFit="1" customWidth="1"/>
    <col min="28" max="29" width="5.5703125" style="1" bestFit="1" customWidth="1"/>
    <col min="30" max="31" width="6.5703125" style="1" bestFit="1" customWidth="1"/>
    <col min="32" max="32" width="11.140625" style="1" customWidth="1"/>
    <col min="33" max="38" width="6.140625" style="1" customWidth="1"/>
  </cols>
  <sheetData>
    <row r="1" spans="1:51" ht="18" customHeight="1" x14ac:dyDescent="0.25">
      <c r="A1" s="944" t="s">
        <v>457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 t="s">
        <v>457</v>
      </c>
      <c r="U1" s="944"/>
      <c r="V1" s="944"/>
      <c r="W1" s="944"/>
      <c r="X1" s="944"/>
      <c r="Y1" s="944"/>
      <c r="Z1" s="944"/>
      <c r="AA1" s="944"/>
      <c r="AB1" s="944"/>
      <c r="AC1" s="944"/>
      <c r="AD1" s="944"/>
      <c r="AE1" s="944"/>
      <c r="AF1" s="944"/>
      <c r="AG1" s="944"/>
      <c r="AH1" s="944"/>
      <c r="AI1" s="944"/>
      <c r="AJ1" s="944"/>
      <c r="AK1" s="944"/>
      <c r="AL1" s="944"/>
    </row>
    <row r="2" spans="1:51" ht="15.75" x14ac:dyDescent="0.25">
      <c r="A2" s="945" t="s">
        <v>565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 t="s">
        <v>566</v>
      </c>
      <c r="U2" s="945"/>
      <c r="V2" s="945"/>
      <c r="W2" s="945"/>
      <c r="X2" s="945"/>
      <c r="Y2" s="945"/>
      <c r="Z2" s="945"/>
      <c r="AA2" s="945"/>
      <c r="AB2" s="945"/>
      <c r="AC2" s="945"/>
      <c r="AD2" s="945"/>
      <c r="AE2" s="945"/>
      <c r="AF2" s="945"/>
      <c r="AG2" s="945"/>
      <c r="AH2" s="945"/>
      <c r="AI2" s="945"/>
      <c r="AJ2" s="945"/>
      <c r="AK2" s="945"/>
      <c r="AL2" s="945"/>
    </row>
    <row r="3" spans="1:51" ht="13.5" thickBot="1" x14ac:dyDescent="0.25">
      <c r="E3" s="168"/>
      <c r="F3" s="168"/>
    </row>
    <row r="4" spans="1:51" s="9" customFormat="1" ht="14.25" thickTop="1" thickBot="1" x14ac:dyDescent="0.25">
      <c r="A4" s="652"/>
      <c r="B4" s="653"/>
      <c r="C4" s="653"/>
      <c r="D4" s="471"/>
      <c r="E4" s="946" t="s">
        <v>10</v>
      </c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8"/>
      <c r="T4" s="652"/>
      <c r="U4" s="653"/>
      <c r="V4" s="653"/>
      <c r="W4" s="471"/>
      <c r="X4" s="946" t="s">
        <v>10</v>
      </c>
      <c r="Y4" s="947"/>
      <c r="Z4" s="947"/>
      <c r="AA4" s="947"/>
      <c r="AB4" s="947"/>
      <c r="AC4" s="947"/>
      <c r="AD4" s="947"/>
      <c r="AE4" s="947"/>
      <c r="AF4" s="947"/>
      <c r="AG4" s="947"/>
      <c r="AH4" s="947"/>
      <c r="AI4" s="947"/>
      <c r="AJ4" s="947"/>
      <c r="AK4" s="947"/>
      <c r="AL4" s="948"/>
    </row>
    <row r="5" spans="1:51" s="9" customFormat="1" ht="15" thickTop="1" x14ac:dyDescent="0.25">
      <c r="A5" s="625" t="s">
        <v>244</v>
      </c>
      <c r="B5" s="625" t="s">
        <v>355</v>
      </c>
      <c r="C5" s="625" t="s">
        <v>246</v>
      </c>
      <c r="D5" s="626" t="s">
        <v>356</v>
      </c>
      <c r="E5" s="943" t="s">
        <v>9</v>
      </c>
      <c r="F5" s="938"/>
      <c r="G5" s="934"/>
      <c r="H5" s="932" t="s">
        <v>8</v>
      </c>
      <c r="I5" s="933"/>
      <c r="J5" s="934"/>
      <c r="K5" s="932" t="s">
        <v>7</v>
      </c>
      <c r="L5" s="933"/>
      <c r="M5" s="934"/>
      <c r="N5" s="932" t="s">
        <v>220</v>
      </c>
      <c r="O5" s="933"/>
      <c r="P5" s="934"/>
      <c r="Q5" s="938" t="s">
        <v>152</v>
      </c>
      <c r="R5" s="933"/>
      <c r="S5" s="940"/>
      <c r="T5" s="625" t="s">
        <v>244</v>
      </c>
      <c r="U5" s="625" t="s">
        <v>355</v>
      </c>
      <c r="V5" s="625" t="s">
        <v>246</v>
      </c>
      <c r="W5" s="626" t="s">
        <v>356</v>
      </c>
      <c r="X5" s="943" t="s">
        <v>189</v>
      </c>
      <c r="Y5" s="933"/>
      <c r="Z5" s="934"/>
      <c r="AA5" s="932" t="s">
        <v>6</v>
      </c>
      <c r="AB5" s="933"/>
      <c r="AC5" s="934"/>
      <c r="AD5" s="932" t="s">
        <v>221</v>
      </c>
      <c r="AE5" s="933"/>
      <c r="AF5" s="934"/>
      <c r="AG5" s="935" t="s">
        <v>232</v>
      </c>
      <c r="AH5" s="936"/>
      <c r="AI5" s="937"/>
      <c r="AJ5" s="938" t="s">
        <v>222</v>
      </c>
      <c r="AK5" s="939"/>
      <c r="AL5" s="940"/>
      <c r="AN5" s="353"/>
      <c r="AO5" s="353"/>
      <c r="AP5" s="353"/>
      <c r="AQ5" s="353"/>
      <c r="AR5" s="353"/>
      <c r="AS5" s="353"/>
      <c r="AT5" s="353"/>
      <c r="AU5" s="353"/>
      <c r="AV5" s="353"/>
      <c r="AW5" s="353"/>
      <c r="AX5" s="353"/>
      <c r="AY5" s="353"/>
    </row>
    <row r="6" spans="1:51" ht="27.75" customHeight="1" thickBot="1" x14ac:dyDescent="0.25">
      <c r="A6" s="166" t="s">
        <v>245</v>
      </c>
      <c r="B6" s="166" t="s">
        <v>356</v>
      </c>
      <c r="C6" s="166" t="s">
        <v>247</v>
      </c>
      <c r="D6" s="472" t="s">
        <v>357</v>
      </c>
      <c r="E6" s="111" t="s">
        <v>5</v>
      </c>
      <c r="F6" s="624" t="s">
        <v>560</v>
      </c>
      <c r="G6" s="654" t="s">
        <v>561</v>
      </c>
      <c r="H6" s="658" t="s">
        <v>5</v>
      </c>
      <c r="I6" s="624" t="s">
        <v>560</v>
      </c>
      <c r="J6" s="654" t="s">
        <v>561</v>
      </c>
      <c r="K6" s="658" t="s">
        <v>5</v>
      </c>
      <c r="L6" s="624" t="s">
        <v>560</v>
      </c>
      <c r="M6" s="654" t="s">
        <v>561</v>
      </c>
      <c r="N6" s="658" t="s">
        <v>5</v>
      </c>
      <c r="O6" s="624" t="s">
        <v>560</v>
      </c>
      <c r="P6" s="654" t="s">
        <v>561</v>
      </c>
      <c r="Q6" s="8" t="s">
        <v>5</v>
      </c>
      <c r="R6" s="624" t="s">
        <v>560</v>
      </c>
      <c r="S6" s="627" t="s">
        <v>561</v>
      </c>
      <c r="T6" s="166" t="s">
        <v>245</v>
      </c>
      <c r="U6" s="166" t="s">
        <v>356</v>
      </c>
      <c r="V6" s="166" t="s">
        <v>247</v>
      </c>
      <c r="W6" s="472" t="s">
        <v>357</v>
      </c>
      <c r="X6" s="111" t="s">
        <v>5</v>
      </c>
      <c r="Y6" s="624" t="s">
        <v>560</v>
      </c>
      <c r="Z6" s="654" t="s">
        <v>561</v>
      </c>
      <c r="AA6" s="658" t="s">
        <v>5</v>
      </c>
      <c r="AB6" s="624" t="s">
        <v>560</v>
      </c>
      <c r="AC6" s="654" t="s">
        <v>561</v>
      </c>
      <c r="AD6" s="658" t="s">
        <v>5</v>
      </c>
      <c r="AE6" s="624" t="s">
        <v>560</v>
      </c>
      <c r="AF6" s="654" t="s">
        <v>561</v>
      </c>
      <c r="AG6" s="658" t="s">
        <v>5</v>
      </c>
      <c r="AH6" s="624" t="s">
        <v>560</v>
      </c>
      <c r="AI6" s="654" t="s">
        <v>561</v>
      </c>
      <c r="AJ6" s="8" t="s">
        <v>5</v>
      </c>
      <c r="AK6" s="624" t="s">
        <v>560</v>
      </c>
      <c r="AL6" s="627" t="s">
        <v>561</v>
      </c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</row>
    <row r="7" spans="1:51" s="809" customFormat="1" ht="14.25" thickTop="1" thickBot="1" x14ac:dyDescent="0.25">
      <c r="A7" s="791" t="s">
        <v>316</v>
      </c>
      <c r="B7" s="792"/>
      <c r="C7" s="793"/>
      <c r="D7" s="794"/>
      <c r="E7" s="795"/>
      <c r="F7" s="796"/>
      <c r="G7" s="797"/>
      <c r="H7" s="798"/>
      <c r="I7" s="796"/>
      <c r="J7" s="797"/>
      <c r="K7" s="798"/>
      <c r="L7" s="796"/>
      <c r="M7" s="797"/>
      <c r="N7" s="799"/>
      <c r="O7" s="800"/>
      <c r="P7" s="801"/>
      <c r="Q7" s="800"/>
      <c r="R7" s="800"/>
      <c r="S7" s="802"/>
      <c r="T7" s="791" t="s">
        <v>316</v>
      </c>
      <c r="U7" s="792"/>
      <c r="V7" s="793"/>
      <c r="W7" s="794"/>
      <c r="X7" s="803"/>
      <c r="Y7" s="804"/>
      <c r="Z7" s="805"/>
      <c r="AA7" s="806"/>
      <c r="AB7" s="807"/>
      <c r="AC7" s="808"/>
      <c r="AD7" s="799"/>
      <c r="AE7" s="800"/>
      <c r="AF7" s="801"/>
      <c r="AG7" s="799"/>
      <c r="AH7" s="800"/>
      <c r="AI7" s="801"/>
      <c r="AJ7" s="800"/>
      <c r="AK7" s="800"/>
      <c r="AL7" s="802"/>
      <c r="AN7" s="810"/>
      <c r="AO7" s="810"/>
      <c r="AP7" s="810"/>
      <c r="AQ7" s="810"/>
      <c r="AR7" s="810"/>
      <c r="AS7" s="810"/>
      <c r="AT7" s="810"/>
      <c r="AU7" s="810"/>
      <c r="AV7" s="810"/>
      <c r="AW7" s="810"/>
      <c r="AX7" s="810"/>
      <c r="AY7" s="810"/>
    </row>
    <row r="8" spans="1:51" s="815" customFormat="1" ht="13.5" customHeight="1" thickTop="1" x14ac:dyDescent="0.2">
      <c r="A8" s="811" t="s">
        <v>613</v>
      </c>
      <c r="B8" s="812" t="s">
        <v>233</v>
      </c>
      <c r="C8" s="813" t="s">
        <v>636</v>
      </c>
      <c r="D8" s="814" t="s">
        <v>360</v>
      </c>
      <c r="E8" s="655">
        <f>'Combustion (Existing Calcs)'!I52</f>
        <v>6.3229800000000012</v>
      </c>
      <c r="F8" s="348">
        <f>'Combustion (Existing Calcs)'!J52</f>
        <v>27.694652400000006</v>
      </c>
      <c r="G8" s="656">
        <f>'Combustion (Existing Calcs)'!K52</f>
        <v>27.694652400000006</v>
      </c>
      <c r="H8" s="659">
        <f>'Combustion (Existing Calcs)'!I53</f>
        <v>5.5074900000000016</v>
      </c>
      <c r="I8" s="328">
        <f>'Combustion (Existing Calcs)'!J53</f>
        <v>24.122806200000007</v>
      </c>
      <c r="J8" s="656">
        <f>'Combustion (Existing Calcs)'!K53</f>
        <v>24.122806200000007</v>
      </c>
      <c r="K8" s="659">
        <f>'Combustion (Existing Calcs)'!I54</f>
        <v>3.7649900000000005</v>
      </c>
      <c r="L8" s="328">
        <f>'Combustion (Existing Calcs)'!J54</f>
        <v>16.4906562</v>
      </c>
      <c r="M8" s="656">
        <f>'Combustion (Existing Calcs)'!K54</f>
        <v>16.4906562</v>
      </c>
      <c r="N8" s="659">
        <f>'Combustion (Existing Calcs)'!I55</f>
        <v>80.070000000000007</v>
      </c>
      <c r="O8" s="328">
        <f>'Combustion (Existing Calcs)'!J55</f>
        <v>350.70660000000004</v>
      </c>
      <c r="P8" s="656">
        <f>'Combustion (Existing Calcs)'!K55</f>
        <v>350.70660000000004</v>
      </c>
      <c r="Q8" s="348">
        <f>'Combustion (Existing Calcs)'!I56</f>
        <v>18.700000000000003</v>
      </c>
      <c r="R8" s="328">
        <f>'Combustion (Existing Calcs)'!J56</f>
        <v>81.90600000000002</v>
      </c>
      <c r="S8" s="329">
        <f>'Combustion (Existing Calcs)'!K56</f>
        <v>81.90600000000002</v>
      </c>
      <c r="T8" s="811" t="s">
        <v>613</v>
      </c>
      <c r="U8" s="812" t="s">
        <v>233</v>
      </c>
      <c r="V8" s="813" t="s">
        <v>636</v>
      </c>
      <c r="W8" s="814" t="s">
        <v>360</v>
      </c>
      <c r="X8" s="655">
        <f>'Combustion (Existing Calcs)'!I58</f>
        <v>4.2</v>
      </c>
      <c r="Y8" s="328">
        <f>'Combustion (Existing Calcs)'!J58</f>
        <v>18.396000000000001</v>
      </c>
      <c r="Z8" s="656">
        <f>'Combustion (Existing Calcs)'!K58</f>
        <v>18.396000000000001</v>
      </c>
      <c r="AA8" s="664">
        <f>'Combustion (Existing Calcs)'!I57</f>
        <v>0.27500000000000002</v>
      </c>
      <c r="AB8" s="325">
        <f>'Combustion (Existing Calcs)'!J57</f>
        <v>1.2044999999999999</v>
      </c>
      <c r="AC8" s="665">
        <f>'Combustion (Existing Calcs)'!K57</f>
        <v>1.2044999999999999</v>
      </c>
      <c r="AD8" s="672">
        <f>'Combustion (Existing Calcs)'!I63</f>
        <v>8358.1995999999999</v>
      </c>
      <c r="AE8" s="327">
        <f>'Combustion (Existing Calcs)'!J63</f>
        <v>36608.914248000008</v>
      </c>
      <c r="AF8" s="673">
        <f>'Combustion (Existing Calcs)'!K63</f>
        <v>36608.914248000008</v>
      </c>
      <c r="AG8" s="683">
        <f>'Combustion (Existing Calcs)'!I29</f>
        <v>9.0000000000000011E-2</v>
      </c>
      <c r="AH8" s="326">
        <f>'Combustion (Existing Calcs)'!J29</f>
        <v>0.39420000000000005</v>
      </c>
      <c r="AI8" s="656">
        <f>'Combustion (Existing Calcs)'!K29</f>
        <v>0.39420000000000005</v>
      </c>
      <c r="AJ8" s="348">
        <f>'Combustion (Existing Calcs)'!I50</f>
        <v>9.4720349999999995E-2</v>
      </c>
      <c r="AK8" s="328">
        <f>'Combustion (Existing Calcs)'!J50</f>
        <v>0.41487513300000001</v>
      </c>
      <c r="AL8" s="329">
        <f>'Combustion (Existing Calcs)'!K50</f>
        <v>0.41487513300000001</v>
      </c>
      <c r="AN8" s="350"/>
      <c r="AO8" s="350"/>
      <c r="AP8" s="350"/>
      <c r="AQ8" s="350"/>
      <c r="AR8" s="350"/>
      <c r="AS8" s="350"/>
      <c r="AT8" s="352"/>
      <c r="AU8" s="352"/>
      <c r="AV8" s="350"/>
      <c r="AW8" s="350"/>
      <c r="AX8" s="350"/>
      <c r="AY8" s="350"/>
    </row>
    <row r="9" spans="1:51" s="815" customFormat="1" x14ac:dyDescent="0.2">
      <c r="A9" s="816" t="s">
        <v>614</v>
      </c>
      <c r="B9" s="817" t="s">
        <v>627</v>
      </c>
      <c r="C9" s="817" t="s">
        <v>637</v>
      </c>
      <c r="D9" s="818" t="s">
        <v>358</v>
      </c>
      <c r="E9" s="819">
        <f>'Combustion (Existing Calcs)'!G113+'EQUI 4'!H36</f>
        <v>1.4719705808826156</v>
      </c>
      <c r="F9" s="662">
        <f>'Combustion (Existing Calcs)'!H113+'EQUI 4'!J36</f>
        <v>59.826548791324676</v>
      </c>
      <c r="G9" s="667">
        <f>'Combustion (Existing Calcs)'!I113+'EQUI 4'!I36</f>
        <v>6.4472311442658565</v>
      </c>
      <c r="H9" s="666">
        <f>'Combustion (Existing Calcs)'!G114+'EQUI 4'!H37</f>
        <v>1.302139923574158</v>
      </c>
      <c r="I9" s="356">
        <f>'Combustion (Existing Calcs)'!H114+'EQUI 4'!J37</f>
        <v>53.795772865254804</v>
      </c>
      <c r="J9" s="667">
        <f>'Combustion (Existing Calcs)'!I114+'EQUI 4'!I37</f>
        <v>5.7033728652548117</v>
      </c>
      <c r="K9" s="666">
        <f>'Combustion (Existing Calcs)'!G115+'EQUI 4'!H38</f>
        <v>0.78359046000457977</v>
      </c>
      <c r="L9" s="356">
        <f>'Combustion (Existing Calcs)'!H115+'EQUI 4'!J38</f>
        <v>32.139161508937704</v>
      </c>
      <c r="M9" s="667">
        <f>'Combustion (Existing Calcs)'!I115+'EQUI 4'!I38</f>
        <v>3.4321262148200593</v>
      </c>
      <c r="N9" s="666">
        <f>'Combustion (Existing Calcs)'!G116</f>
        <v>2.5356237277240106</v>
      </c>
      <c r="O9" s="356">
        <f>'Combustion (Existing Calcs)'!H116</f>
        <v>11.106031927431166</v>
      </c>
      <c r="P9" s="667">
        <f>'Combustion (Existing Calcs)'!I116</f>
        <v>11.106031927431166</v>
      </c>
      <c r="Q9" s="662">
        <f>'Combustion (Existing Calcs)'!G117</f>
        <v>0.71426020499267895</v>
      </c>
      <c r="R9" s="356">
        <f>'Combustion (Existing Calcs)'!H117</f>
        <v>3.1284596978679335</v>
      </c>
      <c r="S9" s="359">
        <f>'Combustion (Existing Calcs)'!I117</f>
        <v>3.1284596978679335</v>
      </c>
      <c r="T9" s="816" t="s">
        <v>614</v>
      </c>
      <c r="U9" s="817" t="s">
        <v>627</v>
      </c>
      <c r="V9" s="817" t="s">
        <v>637</v>
      </c>
      <c r="W9" s="818" t="s">
        <v>358</v>
      </c>
      <c r="X9" s="819">
        <f>'Combustion (Existing Calcs)'!G119</f>
        <v>0.41176470588235292</v>
      </c>
      <c r="Y9" s="356">
        <f>'Combustion (Existing Calcs)'!H119</f>
        <v>1.8035294117647058</v>
      </c>
      <c r="Z9" s="667">
        <f>'Combustion (Existing Calcs)'!I119</f>
        <v>1.8035294117647058</v>
      </c>
      <c r="AA9" s="666">
        <f>'Combustion (Existing Calcs)'!G118+'EQUI 4'!H39</f>
        <v>0.11696078431372549</v>
      </c>
      <c r="AB9" s="356">
        <f>'Combustion (Existing Calcs)'!H118+'EQUI 4'!I39</f>
        <v>0.5122882352941176</v>
      </c>
      <c r="AC9" s="667">
        <f>'Combustion (Existing Calcs)'!I118+'EQUI 4'!I39</f>
        <v>0.5122882352941176</v>
      </c>
      <c r="AD9" s="674">
        <f>'Combustion (Existing Calcs)'!G124</f>
        <v>799.89571680213123</v>
      </c>
      <c r="AE9" s="358">
        <f>'Combustion (Existing Calcs)'!H124</f>
        <v>3503.5432395933344</v>
      </c>
      <c r="AF9" s="675">
        <f>'Combustion (Existing Calcs)'!I124</f>
        <v>3503.5432395933344</v>
      </c>
      <c r="AG9" s="684">
        <f>'Combustion (Existing Calcs)'!G90</f>
        <v>8.8235294117647058E-3</v>
      </c>
      <c r="AH9" s="357">
        <f>'Combustion (Existing Calcs)'!H90</f>
        <v>3.8647058823529416E-2</v>
      </c>
      <c r="AI9" s="667">
        <f>'Combustion (Existing Calcs)'!I90</f>
        <v>3.8647058823529416E-2</v>
      </c>
      <c r="AJ9" s="662">
        <f>'Combustion (Existing Calcs)'!G111</f>
        <v>9.2439068627450972E-3</v>
      </c>
      <c r="AK9" s="356">
        <f>'Combustion (Existing Calcs)'!H111</f>
        <v>4.0488312058823521E-2</v>
      </c>
      <c r="AL9" s="359">
        <f>'Combustion (Existing Calcs)'!I111</f>
        <v>4.0488312058823521E-2</v>
      </c>
      <c r="AN9" s="350"/>
    </row>
    <row r="10" spans="1:51" s="815" customFormat="1" ht="25.5" x14ac:dyDescent="0.2">
      <c r="A10" s="820" t="s">
        <v>615</v>
      </c>
      <c r="B10" s="821" t="s">
        <v>628</v>
      </c>
      <c r="C10" s="821" t="s">
        <v>638</v>
      </c>
      <c r="D10" s="822" t="s">
        <v>579</v>
      </c>
      <c r="E10" s="823">
        <f>'EQUI 20'!E52</f>
        <v>1.0565</v>
      </c>
      <c r="F10" s="784">
        <f>'EQUI 20'!F52</f>
        <v>46.274699999999996</v>
      </c>
      <c r="G10" s="669">
        <f>'EQUI 20'!G52</f>
        <v>4.6274699999999998</v>
      </c>
      <c r="H10" s="668">
        <f>'EQUI 20'!E53</f>
        <v>1.017075</v>
      </c>
      <c r="I10" s="135">
        <f>'EQUI 20'!F53</f>
        <v>44.547884999999994</v>
      </c>
      <c r="J10" s="669">
        <f>'EQUI 20'!G53</f>
        <v>4.4547884999999994</v>
      </c>
      <c r="K10" s="668">
        <f>'EQUI 20'!E54</f>
        <v>0.9678500000000001</v>
      </c>
      <c r="L10" s="135">
        <f>'EQUI 20'!F54</f>
        <v>42.391829999999992</v>
      </c>
      <c r="M10" s="669">
        <f>'EQUI 20'!G54</f>
        <v>4.2391830000000006</v>
      </c>
      <c r="N10" s="824" t="s">
        <v>233</v>
      </c>
      <c r="O10" s="825"/>
      <c r="P10" s="826" t="s">
        <v>233</v>
      </c>
      <c r="Q10" s="827" t="s">
        <v>233</v>
      </c>
      <c r="R10" s="825"/>
      <c r="S10" s="828" t="s">
        <v>233</v>
      </c>
      <c r="T10" s="820" t="s">
        <v>615</v>
      </c>
      <c r="U10" s="821" t="s">
        <v>628</v>
      </c>
      <c r="V10" s="821" t="s">
        <v>638</v>
      </c>
      <c r="W10" s="822" t="s">
        <v>579</v>
      </c>
      <c r="X10" s="829" t="s">
        <v>233</v>
      </c>
      <c r="Y10" s="830"/>
      <c r="Z10" s="831" t="s">
        <v>233</v>
      </c>
      <c r="AA10" s="668">
        <f>'EQUI 20'!E55</f>
        <v>0.17</v>
      </c>
      <c r="AB10" s="135">
        <f>'EQUI 20'!F55</f>
        <v>0.74460000000000004</v>
      </c>
      <c r="AC10" s="669">
        <f>'EQUI 20'!G55</f>
        <v>0.74460000000000004</v>
      </c>
      <c r="AD10" s="824" t="s">
        <v>233</v>
      </c>
      <c r="AE10" s="825"/>
      <c r="AF10" s="826" t="s">
        <v>233</v>
      </c>
      <c r="AG10" s="824" t="s">
        <v>233</v>
      </c>
      <c r="AH10" s="825"/>
      <c r="AI10" s="826" t="s">
        <v>233</v>
      </c>
      <c r="AJ10" s="827" t="s">
        <v>233</v>
      </c>
      <c r="AK10" s="832"/>
      <c r="AL10" s="828" t="s">
        <v>233</v>
      </c>
    </row>
    <row r="11" spans="1:51" s="815" customFormat="1" ht="25.5" x14ac:dyDescent="0.2">
      <c r="A11" s="820" t="s">
        <v>616</v>
      </c>
      <c r="B11" s="833" t="s">
        <v>629</v>
      </c>
      <c r="C11" s="821" t="s">
        <v>639</v>
      </c>
      <c r="D11" s="822" t="s">
        <v>359</v>
      </c>
      <c r="E11" s="823">
        <f>'EQUI 21'!M9</f>
        <v>7.3000000000000061E-3</v>
      </c>
      <c r="F11" s="784">
        <f>'EQUI 21'!O9</f>
        <v>3.1974</v>
      </c>
      <c r="G11" s="669">
        <f>'EQUI 21'!N9</f>
        <v>3.1974000000000023E-2</v>
      </c>
      <c r="H11" s="834">
        <f>'EQUI 21'!M10</f>
        <v>4.7000000000000037E-3</v>
      </c>
      <c r="I11" s="135">
        <f>'EQUI 21'!O10</f>
        <v>2.0585999999999998</v>
      </c>
      <c r="J11" s="669">
        <f>'EQUI 21'!N10</f>
        <v>2.0586000000000014E-2</v>
      </c>
      <c r="K11" s="834">
        <f>'EQUI 21'!M11</f>
        <v>4.7000000000000037E-3</v>
      </c>
      <c r="L11" s="835">
        <f>'EQUI 21'!O11</f>
        <v>2.0585999999999998</v>
      </c>
      <c r="M11" s="669">
        <f>'EQUI 21'!N11</f>
        <v>2.0586000000000014E-2</v>
      </c>
      <c r="N11" s="824" t="s">
        <v>233</v>
      </c>
      <c r="O11" s="825"/>
      <c r="P11" s="826" t="s">
        <v>233</v>
      </c>
      <c r="Q11" s="827" t="s">
        <v>233</v>
      </c>
      <c r="R11" s="825"/>
      <c r="S11" s="828" t="s">
        <v>233</v>
      </c>
      <c r="T11" s="820" t="s">
        <v>616</v>
      </c>
      <c r="U11" s="833" t="s">
        <v>629</v>
      </c>
      <c r="V11" s="821" t="s">
        <v>639</v>
      </c>
      <c r="W11" s="822" t="s">
        <v>359</v>
      </c>
      <c r="X11" s="829" t="s">
        <v>233</v>
      </c>
      <c r="Y11" s="830"/>
      <c r="Z11" s="831" t="s">
        <v>233</v>
      </c>
      <c r="AA11" s="824" t="s">
        <v>233</v>
      </c>
      <c r="AB11" s="825"/>
      <c r="AC11" s="826" t="s">
        <v>233</v>
      </c>
      <c r="AD11" s="824" t="s">
        <v>233</v>
      </c>
      <c r="AE11" s="825"/>
      <c r="AF11" s="826" t="s">
        <v>233</v>
      </c>
      <c r="AG11" s="824" t="s">
        <v>233</v>
      </c>
      <c r="AH11" s="825"/>
      <c r="AI11" s="826" t="s">
        <v>233</v>
      </c>
      <c r="AJ11" s="827" t="s">
        <v>233</v>
      </c>
      <c r="AK11" s="832"/>
      <c r="AL11" s="828" t="s">
        <v>233</v>
      </c>
    </row>
    <row r="12" spans="1:51" s="815" customFormat="1" x14ac:dyDescent="0.2">
      <c r="A12" s="816" t="s">
        <v>617</v>
      </c>
      <c r="B12" s="836" t="s">
        <v>233</v>
      </c>
      <c r="C12" s="817" t="s">
        <v>640</v>
      </c>
      <c r="D12" s="818" t="s">
        <v>361</v>
      </c>
      <c r="E12" s="819">
        <f>'Combustion (Existing Calcs)'!G173</f>
        <v>0.41437091532445264</v>
      </c>
      <c r="F12" s="662">
        <f>'Combustion (Existing Calcs)'!H173</f>
        <v>1.8149446091211026</v>
      </c>
      <c r="G12" s="667">
        <f>'Combustion (Existing Calcs)'!I173</f>
        <v>1.8149446091211026</v>
      </c>
      <c r="H12" s="666">
        <f>'Combustion (Existing Calcs)'!G174</f>
        <v>0.28880397128673974</v>
      </c>
      <c r="I12" s="356">
        <f>'Combustion (Existing Calcs)'!H174</f>
        <v>1.2649613942359201</v>
      </c>
      <c r="J12" s="667">
        <f>'Combustion (Existing Calcs)'!I174</f>
        <v>1.2649613942359201</v>
      </c>
      <c r="K12" s="666">
        <f>'Combustion (Existing Calcs)'!G175</f>
        <v>0.19462876325845505</v>
      </c>
      <c r="L12" s="356">
        <f>'Combustion (Existing Calcs)'!H175</f>
        <v>0.85247398307203315</v>
      </c>
      <c r="M12" s="667">
        <f>'Combustion (Existing Calcs)'!I175</f>
        <v>0.85247398307203315</v>
      </c>
      <c r="N12" s="666">
        <f>'Combustion (Existing Calcs)'!G176</f>
        <v>8.9152530266776182</v>
      </c>
      <c r="O12" s="356">
        <f>'Combustion (Existing Calcs)'!H176</f>
        <v>39.048808256847963</v>
      </c>
      <c r="P12" s="667">
        <f>'Combustion (Existing Calcs)'!I176</f>
        <v>39.048808256847963</v>
      </c>
      <c r="Q12" s="662">
        <f>'Combustion (Existing Calcs)'!G177</f>
        <v>2.5113388807542587</v>
      </c>
      <c r="R12" s="356">
        <f>'Combustion (Existing Calcs)'!H177</f>
        <v>10.999664297703653</v>
      </c>
      <c r="S12" s="359">
        <f>'Combustion (Existing Calcs)'!I177</f>
        <v>10.999664297703653</v>
      </c>
      <c r="T12" s="816" t="s">
        <v>617</v>
      </c>
      <c r="U12" s="836" t="s">
        <v>233</v>
      </c>
      <c r="V12" s="817" t="s">
        <v>640</v>
      </c>
      <c r="W12" s="818" t="s">
        <v>361</v>
      </c>
      <c r="X12" s="819">
        <f>'Combustion (Existing Calcs)'!G179</f>
        <v>1.4477647058823528</v>
      </c>
      <c r="Y12" s="356">
        <f>'Combustion (Existing Calcs)'!H179</f>
        <v>6.341209411764706</v>
      </c>
      <c r="Z12" s="667">
        <f>'Combustion (Existing Calcs)'!I179</f>
        <v>6.341209411764706</v>
      </c>
      <c r="AA12" s="666">
        <f>'Combustion (Existing Calcs)'!G178</f>
        <v>9.4794117647058806E-2</v>
      </c>
      <c r="AB12" s="356">
        <f>'Combustion (Existing Calcs)'!H178</f>
        <v>0.41519823529411759</v>
      </c>
      <c r="AC12" s="667">
        <f>'Combustion (Existing Calcs)'!I178</f>
        <v>0.41519823529411759</v>
      </c>
      <c r="AD12" s="676">
        <f>'Combustion (Existing Calcs)'!G184</f>
        <v>2812.4333402762923</v>
      </c>
      <c r="AE12" s="360">
        <f>'Combustion (Existing Calcs)'!H184</f>
        <v>12318.458030410158</v>
      </c>
      <c r="AF12" s="675">
        <f>'Combustion (Existing Calcs)'!I184</f>
        <v>12318.458030410158</v>
      </c>
      <c r="AG12" s="684">
        <f>'Combustion (Existing Calcs)'!G150</f>
        <v>3.1023529411764703E-2</v>
      </c>
      <c r="AH12" s="357">
        <f>'Combustion (Existing Calcs)'!H150</f>
        <v>0.13588305882352941</v>
      </c>
      <c r="AI12" s="667">
        <f>'Combustion (Existing Calcs)'!I150</f>
        <v>0.13588305882352941</v>
      </c>
      <c r="AJ12" s="662">
        <f>'Combustion (Existing Calcs)'!G171</f>
        <v>3.2560176529411761E-2</v>
      </c>
      <c r="AK12" s="356">
        <f>'Combustion (Existing Calcs)'!H171</f>
        <v>0.14261357319882351</v>
      </c>
      <c r="AL12" s="359">
        <f>'Combustion (Existing Calcs)'!I171</f>
        <v>0.14261357319882351</v>
      </c>
      <c r="AN12" s="350"/>
    </row>
    <row r="13" spans="1:51" s="815" customFormat="1" x14ac:dyDescent="0.2">
      <c r="A13" s="820" t="s">
        <v>618</v>
      </c>
      <c r="B13" s="821" t="s">
        <v>630</v>
      </c>
      <c r="C13" s="821" t="s">
        <v>641</v>
      </c>
      <c r="D13" s="822" t="s">
        <v>363</v>
      </c>
      <c r="E13" s="823">
        <f>'EQUI 1, EQUI 2'!M9</f>
        <v>7.3000000000000065E-2</v>
      </c>
      <c r="F13" s="784">
        <f>'EQUI 1, EQUI 2'!O9</f>
        <v>31.974</v>
      </c>
      <c r="G13" s="669">
        <f>'EQUI 1, EQUI 2'!N9</f>
        <v>0.3197400000000003</v>
      </c>
      <c r="H13" s="668">
        <f>'EQUI 1, EQUI 2'!M10</f>
        <v>4.7000000000000035E-2</v>
      </c>
      <c r="I13" s="135">
        <f>'EQUI 1, EQUI 2'!O10</f>
        <v>20.585999999999995</v>
      </c>
      <c r="J13" s="669">
        <f>'EQUI 1, EQUI 2'!N10</f>
        <v>0.20586000000000015</v>
      </c>
      <c r="K13" s="668">
        <f>'EQUI 1, EQUI 2'!M11</f>
        <v>4.7000000000000035E-2</v>
      </c>
      <c r="L13" s="135">
        <f>'EQUI 1, EQUI 2'!O11</f>
        <v>20.585999999999995</v>
      </c>
      <c r="M13" s="669">
        <f>'EQUI 1, EQUI 2'!N11</f>
        <v>0.20586000000000015</v>
      </c>
      <c r="N13" s="824" t="s">
        <v>233</v>
      </c>
      <c r="O13" s="825"/>
      <c r="P13" s="826" t="s">
        <v>233</v>
      </c>
      <c r="Q13" s="827" t="s">
        <v>233</v>
      </c>
      <c r="R13" s="825"/>
      <c r="S13" s="828" t="s">
        <v>233</v>
      </c>
      <c r="T13" s="820" t="s">
        <v>618</v>
      </c>
      <c r="U13" s="821" t="s">
        <v>630</v>
      </c>
      <c r="V13" s="821" t="s">
        <v>641</v>
      </c>
      <c r="W13" s="822" t="s">
        <v>363</v>
      </c>
      <c r="X13" s="829" t="s">
        <v>233</v>
      </c>
      <c r="Y13" s="830"/>
      <c r="Z13" s="831" t="s">
        <v>233</v>
      </c>
      <c r="AA13" s="824" t="s">
        <v>233</v>
      </c>
      <c r="AB13" s="825"/>
      <c r="AC13" s="826" t="s">
        <v>233</v>
      </c>
      <c r="AD13" s="824" t="s">
        <v>233</v>
      </c>
      <c r="AE13" s="825"/>
      <c r="AF13" s="826" t="s">
        <v>233</v>
      </c>
      <c r="AG13" s="824" t="s">
        <v>233</v>
      </c>
      <c r="AH13" s="825"/>
      <c r="AI13" s="826" t="s">
        <v>233</v>
      </c>
      <c r="AJ13" s="827" t="s">
        <v>233</v>
      </c>
      <c r="AK13" s="832"/>
      <c r="AL13" s="828" t="s">
        <v>233</v>
      </c>
    </row>
    <row r="14" spans="1:51" s="815" customFormat="1" x14ac:dyDescent="0.2">
      <c r="A14" s="820" t="s">
        <v>619</v>
      </c>
      <c r="B14" s="821" t="s">
        <v>631</v>
      </c>
      <c r="C14" s="821" t="s">
        <v>642</v>
      </c>
      <c r="D14" s="822" t="s">
        <v>364</v>
      </c>
      <c r="E14" s="823">
        <f>'EQUI 1, EQUI 2'!M20</f>
        <v>7.3000000000000065E-2</v>
      </c>
      <c r="F14" s="784">
        <f>'EQUI 1, EQUI 2'!O20</f>
        <v>31.974</v>
      </c>
      <c r="G14" s="669">
        <f>'EQUI 1, EQUI 2'!N20</f>
        <v>0.3197400000000003</v>
      </c>
      <c r="H14" s="668">
        <f>'EQUI 1, EQUI 2'!M21</f>
        <v>4.7000000000000035E-2</v>
      </c>
      <c r="I14" s="135">
        <f>'EQUI 1, EQUI 2'!O21</f>
        <v>20.585999999999995</v>
      </c>
      <c r="J14" s="669">
        <f>'EQUI 1, EQUI 2'!N21</f>
        <v>0.20586000000000015</v>
      </c>
      <c r="K14" s="668">
        <f>'EQUI 1, EQUI 2'!M22</f>
        <v>4.7000000000000035E-2</v>
      </c>
      <c r="L14" s="135">
        <f>'EQUI 1, EQUI 2'!O22</f>
        <v>20.585999999999995</v>
      </c>
      <c r="M14" s="669">
        <f>'EQUI 1, EQUI 2'!N22</f>
        <v>0.20586000000000015</v>
      </c>
      <c r="N14" s="824" t="s">
        <v>233</v>
      </c>
      <c r="O14" s="825"/>
      <c r="P14" s="826" t="s">
        <v>233</v>
      </c>
      <c r="Q14" s="827" t="s">
        <v>233</v>
      </c>
      <c r="R14" s="825"/>
      <c r="S14" s="828" t="s">
        <v>233</v>
      </c>
      <c r="T14" s="820" t="s">
        <v>619</v>
      </c>
      <c r="U14" s="821" t="s">
        <v>631</v>
      </c>
      <c r="V14" s="821" t="s">
        <v>642</v>
      </c>
      <c r="W14" s="822" t="s">
        <v>364</v>
      </c>
      <c r="X14" s="829" t="s">
        <v>233</v>
      </c>
      <c r="Y14" s="830"/>
      <c r="Z14" s="831" t="s">
        <v>233</v>
      </c>
      <c r="AA14" s="824" t="s">
        <v>233</v>
      </c>
      <c r="AB14" s="825"/>
      <c r="AC14" s="826" t="s">
        <v>233</v>
      </c>
      <c r="AD14" s="824" t="s">
        <v>233</v>
      </c>
      <c r="AE14" s="825"/>
      <c r="AF14" s="826" t="s">
        <v>233</v>
      </c>
      <c r="AG14" s="824" t="s">
        <v>233</v>
      </c>
      <c r="AH14" s="825"/>
      <c r="AI14" s="826" t="s">
        <v>233</v>
      </c>
      <c r="AJ14" s="827" t="s">
        <v>233</v>
      </c>
      <c r="AK14" s="832"/>
      <c r="AL14" s="828" t="s">
        <v>233</v>
      </c>
    </row>
    <row r="15" spans="1:51" s="815" customFormat="1" ht="25.5" x14ac:dyDescent="0.2">
      <c r="A15" s="820" t="s">
        <v>620</v>
      </c>
      <c r="B15" s="821" t="s">
        <v>632</v>
      </c>
      <c r="C15" s="821" t="s">
        <v>643</v>
      </c>
      <c r="D15" s="822" t="s">
        <v>365</v>
      </c>
      <c r="E15" s="823">
        <f>'EQUI 3, EQUI 16, EQUI 17'!H9</f>
        <v>0.33500000000000002</v>
      </c>
      <c r="F15" s="784">
        <f>'EQUI 3, EQUI 16, EQUI 17'!J9</f>
        <v>14.673</v>
      </c>
      <c r="G15" s="669">
        <f>'EQUI 3, EQUI 16, EQUI 17'!I9</f>
        <v>1.4673</v>
      </c>
      <c r="H15" s="668">
        <f>'EQUI 3, EQUI 16, EQUI 17'!H10</f>
        <v>0.28475</v>
      </c>
      <c r="I15" s="135">
        <f>'EQUI 3, EQUI 16, EQUI 17'!J10</f>
        <v>12.472050000000001</v>
      </c>
      <c r="J15" s="669">
        <f>'EQUI 3, EQUI 16, EQUI 17'!I10</f>
        <v>1.2472049999999999</v>
      </c>
      <c r="K15" s="668">
        <f>'EQUI 3, EQUI 16, EQUI 17'!H11</f>
        <v>0.10050000000000002</v>
      </c>
      <c r="L15" s="135">
        <f>'EQUI 3, EQUI 16, EQUI 17'!J11</f>
        <v>4.4019000000000004</v>
      </c>
      <c r="M15" s="669">
        <f>'EQUI 3, EQUI 16, EQUI 17'!I11</f>
        <v>0.44019000000000008</v>
      </c>
      <c r="N15" s="824" t="s">
        <v>233</v>
      </c>
      <c r="O15" s="825"/>
      <c r="P15" s="826" t="s">
        <v>233</v>
      </c>
      <c r="Q15" s="827" t="s">
        <v>233</v>
      </c>
      <c r="R15" s="825"/>
      <c r="S15" s="828" t="s">
        <v>233</v>
      </c>
      <c r="T15" s="820" t="s">
        <v>620</v>
      </c>
      <c r="U15" s="821" t="s">
        <v>632</v>
      </c>
      <c r="V15" s="821" t="s">
        <v>643</v>
      </c>
      <c r="W15" s="822" t="s">
        <v>365</v>
      </c>
      <c r="X15" s="829" t="s">
        <v>233</v>
      </c>
      <c r="Y15" s="830"/>
      <c r="Z15" s="831" t="s">
        <v>233</v>
      </c>
      <c r="AA15" s="824" t="s">
        <v>233</v>
      </c>
      <c r="AB15" s="825"/>
      <c r="AC15" s="826" t="s">
        <v>233</v>
      </c>
      <c r="AD15" s="824" t="s">
        <v>233</v>
      </c>
      <c r="AE15" s="825"/>
      <c r="AF15" s="826" t="s">
        <v>233</v>
      </c>
      <c r="AG15" s="824" t="s">
        <v>233</v>
      </c>
      <c r="AH15" s="825"/>
      <c r="AI15" s="826" t="s">
        <v>233</v>
      </c>
      <c r="AJ15" s="827" t="s">
        <v>233</v>
      </c>
      <c r="AK15" s="832"/>
      <c r="AL15" s="828" t="s">
        <v>233</v>
      </c>
    </row>
    <row r="16" spans="1:51" s="815" customFormat="1" ht="25.5" x14ac:dyDescent="0.2">
      <c r="A16" s="820" t="s">
        <v>621</v>
      </c>
      <c r="B16" s="821" t="s">
        <v>633</v>
      </c>
      <c r="C16" s="821" t="s">
        <v>643</v>
      </c>
      <c r="D16" s="822" t="s">
        <v>370</v>
      </c>
      <c r="E16" s="823">
        <f>'EQUI 3, EQUI 16, EQUI 17'!H19</f>
        <v>1</v>
      </c>
      <c r="F16" s="784">
        <f>'EQUI 3, EQUI 16, EQUI 17'!J19</f>
        <v>43.8</v>
      </c>
      <c r="G16" s="669">
        <f>'EQUI 3, EQUI 16, EQUI 17'!I19</f>
        <v>4.38</v>
      </c>
      <c r="H16" s="668">
        <f>'EQUI 3, EQUI 16, EQUI 17'!H20</f>
        <v>0.89500000000000002</v>
      </c>
      <c r="I16" s="135">
        <f>'EQUI 3, EQUI 16, EQUI 17'!J20</f>
        <v>39.200999999999993</v>
      </c>
      <c r="J16" s="669">
        <f>'EQUI 3, EQUI 16, EQUI 17'!I20</f>
        <v>3.9201000000000001</v>
      </c>
      <c r="K16" s="668">
        <f>'EQUI 3, EQUI 16, EQUI 17'!H21</f>
        <v>0.51000000000000012</v>
      </c>
      <c r="L16" s="135">
        <f>'EQUI 3, EQUI 16, EQUI 17'!J21</f>
        <v>22.338000000000001</v>
      </c>
      <c r="M16" s="669">
        <f>'EQUI 3, EQUI 16, EQUI 17'!I21</f>
        <v>2.2338000000000005</v>
      </c>
      <c r="N16" s="824" t="s">
        <v>233</v>
      </c>
      <c r="O16" s="825"/>
      <c r="P16" s="826" t="s">
        <v>233</v>
      </c>
      <c r="Q16" s="827" t="s">
        <v>233</v>
      </c>
      <c r="R16" s="825"/>
      <c r="S16" s="828" t="s">
        <v>233</v>
      </c>
      <c r="T16" s="820" t="s">
        <v>621</v>
      </c>
      <c r="U16" s="821" t="s">
        <v>633</v>
      </c>
      <c r="V16" s="821" t="s">
        <v>643</v>
      </c>
      <c r="W16" s="822" t="s">
        <v>370</v>
      </c>
      <c r="X16" s="829" t="s">
        <v>233</v>
      </c>
      <c r="Y16" s="830"/>
      <c r="Z16" s="831" t="s">
        <v>233</v>
      </c>
      <c r="AA16" s="668">
        <f>'EQUI 3, EQUI 16, EQUI 17'!H22</f>
        <v>1.0643750000000001</v>
      </c>
      <c r="AB16" s="135">
        <f>'EQUI 3, EQUI 16, EQUI 17'!J22</f>
        <v>4.6619625000000005</v>
      </c>
      <c r="AC16" s="669">
        <f>'EQUI 3, EQUI 16, EQUI 17'!I22</f>
        <v>4.6619625000000005</v>
      </c>
      <c r="AD16" s="824" t="s">
        <v>233</v>
      </c>
      <c r="AE16" s="825"/>
      <c r="AF16" s="826" t="s">
        <v>233</v>
      </c>
      <c r="AG16" s="824" t="s">
        <v>233</v>
      </c>
      <c r="AH16" s="825"/>
      <c r="AI16" s="826" t="s">
        <v>233</v>
      </c>
      <c r="AJ16" s="827" t="s">
        <v>233</v>
      </c>
      <c r="AK16" s="832"/>
      <c r="AL16" s="828" t="s">
        <v>233</v>
      </c>
    </row>
    <row r="17" spans="1:40" s="815" customFormat="1" ht="25.5" x14ac:dyDescent="0.2">
      <c r="A17" s="820" t="s">
        <v>622</v>
      </c>
      <c r="B17" s="821" t="s">
        <v>633</v>
      </c>
      <c r="C17" s="821" t="s">
        <v>643</v>
      </c>
      <c r="D17" s="822" t="s">
        <v>371</v>
      </c>
      <c r="E17" s="823">
        <f>'EQUI 3, EQUI 16, EQUI 17'!H31</f>
        <v>1</v>
      </c>
      <c r="F17" s="784">
        <f>'EQUI 3, EQUI 16, EQUI 17'!J31</f>
        <v>43.8</v>
      </c>
      <c r="G17" s="669">
        <f>'EQUI 3, EQUI 16, EQUI 17'!I31</f>
        <v>4.38</v>
      </c>
      <c r="H17" s="668">
        <f>'EQUI 3, EQUI 16, EQUI 17'!H32</f>
        <v>0.89500000000000002</v>
      </c>
      <c r="I17" s="135">
        <f>'EQUI 3, EQUI 16, EQUI 17'!J32</f>
        <v>39.200999999999993</v>
      </c>
      <c r="J17" s="669">
        <f>'EQUI 3, EQUI 16, EQUI 17'!I32</f>
        <v>3.9201000000000001</v>
      </c>
      <c r="K17" s="668">
        <f>'EQUI 3, EQUI 16, EQUI 17'!H33</f>
        <v>0.51000000000000012</v>
      </c>
      <c r="L17" s="135">
        <f>'EQUI 3, EQUI 16, EQUI 17'!J33</f>
        <v>22.338000000000001</v>
      </c>
      <c r="M17" s="669">
        <f>'EQUI 3, EQUI 16, EQUI 17'!I33</f>
        <v>2.2338000000000005</v>
      </c>
      <c r="N17" s="824" t="s">
        <v>233</v>
      </c>
      <c r="O17" s="825"/>
      <c r="P17" s="826" t="s">
        <v>233</v>
      </c>
      <c r="Q17" s="827" t="s">
        <v>233</v>
      </c>
      <c r="R17" s="825"/>
      <c r="S17" s="828" t="s">
        <v>233</v>
      </c>
      <c r="T17" s="820" t="s">
        <v>622</v>
      </c>
      <c r="U17" s="821" t="s">
        <v>633</v>
      </c>
      <c r="V17" s="821" t="s">
        <v>643</v>
      </c>
      <c r="W17" s="822" t="s">
        <v>371</v>
      </c>
      <c r="X17" s="829" t="s">
        <v>233</v>
      </c>
      <c r="Y17" s="830"/>
      <c r="Z17" s="831" t="s">
        <v>233</v>
      </c>
      <c r="AA17" s="668">
        <f>'EQUI 3, EQUI 16, EQUI 17'!H34</f>
        <v>1.0643750000000001</v>
      </c>
      <c r="AB17" s="135">
        <f>'EQUI 3, EQUI 16, EQUI 17'!J34</f>
        <v>4.6619625000000005</v>
      </c>
      <c r="AC17" s="669">
        <f>'EQUI 3, EQUI 16, EQUI 17'!I34</f>
        <v>4.6619625000000005</v>
      </c>
      <c r="AD17" s="824" t="s">
        <v>233</v>
      </c>
      <c r="AE17" s="825"/>
      <c r="AF17" s="826" t="s">
        <v>233</v>
      </c>
      <c r="AG17" s="824" t="s">
        <v>233</v>
      </c>
      <c r="AH17" s="825"/>
      <c r="AI17" s="826" t="s">
        <v>233</v>
      </c>
      <c r="AJ17" s="827" t="s">
        <v>233</v>
      </c>
      <c r="AK17" s="832"/>
      <c r="AL17" s="828" t="s">
        <v>233</v>
      </c>
    </row>
    <row r="18" spans="1:40" s="815" customFormat="1" ht="25.5" x14ac:dyDescent="0.2">
      <c r="A18" s="820" t="s">
        <v>623</v>
      </c>
      <c r="B18" s="821" t="s">
        <v>634</v>
      </c>
      <c r="C18" s="821" t="s">
        <v>644</v>
      </c>
      <c r="D18" s="822" t="s">
        <v>366</v>
      </c>
      <c r="E18" s="823">
        <f>'EQUI 18'!M9</f>
        <v>9.1250000000000081E-3</v>
      </c>
      <c r="F18" s="784">
        <f>'EQUI 18'!O9</f>
        <v>3.99675</v>
      </c>
      <c r="G18" s="669">
        <f>'EQUI 18'!N9</f>
        <v>3.9967500000000038E-2</v>
      </c>
      <c r="H18" s="668">
        <f>'EQUI 18'!M10</f>
        <v>5.8750000000000044E-3</v>
      </c>
      <c r="I18" s="135">
        <f>'EQUI 18'!O10</f>
        <v>2.5732499999999994</v>
      </c>
      <c r="J18" s="669">
        <f>'EQUI 18'!N10</f>
        <v>2.5732500000000019E-2</v>
      </c>
      <c r="K18" s="668">
        <f>'EQUI 18'!M11</f>
        <v>5.8750000000000044E-3</v>
      </c>
      <c r="L18" s="135">
        <f>'EQUI 18'!O11</f>
        <v>2.5732499999999994</v>
      </c>
      <c r="M18" s="669">
        <f>'EQUI 18'!N11</f>
        <v>2.5732500000000019E-2</v>
      </c>
      <c r="N18" s="824" t="s">
        <v>233</v>
      </c>
      <c r="O18" s="825"/>
      <c r="P18" s="826" t="s">
        <v>233</v>
      </c>
      <c r="Q18" s="827" t="s">
        <v>233</v>
      </c>
      <c r="R18" s="825"/>
      <c r="S18" s="828" t="s">
        <v>233</v>
      </c>
      <c r="T18" s="820" t="s">
        <v>623</v>
      </c>
      <c r="U18" s="821" t="s">
        <v>634</v>
      </c>
      <c r="V18" s="821" t="s">
        <v>644</v>
      </c>
      <c r="W18" s="822" t="s">
        <v>366</v>
      </c>
      <c r="X18" s="829" t="s">
        <v>233</v>
      </c>
      <c r="Y18" s="830"/>
      <c r="Z18" s="831" t="s">
        <v>233</v>
      </c>
      <c r="AA18" s="837" t="s">
        <v>233</v>
      </c>
      <c r="AB18" s="830"/>
      <c r="AC18" s="831" t="s">
        <v>233</v>
      </c>
      <c r="AD18" s="824" t="s">
        <v>233</v>
      </c>
      <c r="AE18" s="825"/>
      <c r="AF18" s="826" t="s">
        <v>233</v>
      </c>
      <c r="AG18" s="824" t="s">
        <v>233</v>
      </c>
      <c r="AH18" s="825"/>
      <c r="AI18" s="826" t="s">
        <v>233</v>
      </c>
      <c r="AJ18" s="827" t="s">
        <v>233</v>
      </c>
      <c r="AK18" s="832"/>
      <c r="AL18" s="828" t="s">
        <v>233</v>
      </c>
    </row>
    <row r="19" spans="1:40" s="815" customFormat="1" x14ac:dyDescent="0.2">
      <c r="A19" s="838" t="s">
        <v>624</v>
      </c>
      <c r="B19" s="838" t="s">
        <v>635</v>
      </c>
      <c r="C19" s="838" t="s">
        <v>645</v>
      </c>
      <c r="D19" s="839" t="s">
        <v>367</v>
      </c>
      <c r="E19" s="840">
        <f>'EQUI 66, EQUI 8, EQUI 9'!H8</f>
        <v>1.5157200000000002</v>
      </c>
      <c r="F19" s="841">
        <f>'EQUI 66, EQUI 8, EQUI 9'!J8</f>
        <v>66.388536000000002</v>
      </c>
      <c r="G19" s="842">
        <f>'EQUI 66, EQUI 8, EQUI 9'!I8</f>
        <v>6.6388536000000009</v>
      </c>
      <c r="H19" s="843">
        <f>'EQUI 66, EQUI 8, EQUI 9'!H9</f>
        <v>1.3565693999999999</v>
      </c>
      <c r="I19" s="844">
        <f>'EQUI 66, EQUI 8, EQUI 9'!J9</f>
        <v>59.417739719999993</v>
      </c>
      <c r="J19" s="842">
        <f>'EQUI 66, EQUI 8, EQUI 9'!I9</f>
        <v>5.9417739719999991</v>
      </c>
      <c r="K19" s="843">
        <f>'EQUI 66, EQUI 8, EQUI 9'!H10</f>
        <v>0.77301720000000007</v>
      </c>
      <c r="L19" s="844">
        <f>'EQUI 66, EQUI 8, EQUI 9'!J10</f>
        <v>33.858153360000003</v>
      </c>
      <c r="M19" s="842">
        <f>'EQUI 66, EQUI 8, EQUI 9'!I10</f>
        <v>3.3858153360000003</v>
      </c>
      <c r="N19" s="824" t="s">
        <v>233</v>
      </c>
      <c r="O19" s="825"/>
      <c r="P19" s="826" t="s">
        <v>233</v>
      </c>
      <c r="Q19" s="827" t="s">
        <v>233</v>
      </c>
      <c r="R19" s="825"/>
      <c r="S19" s="828" t="s">
        <v>233</v>
      </c>
      <c r="T19" s="838" t="s">
        <v>624</v>
      </c>
      <c r="U19" s="838" t="s">
        <v>635</v>
      </c>
      <c r="V19" s="838" t="s">
        <v>645</v>
      </c>
      <c r="W19" s="839" t="s">
        <v>367</v>
      </c>
      <c r="X19" s="829" t="s">
        <v>233</v>
      </c>
      <c r="Y19" s="830"/>
      <c r="Z19" s="831" t="s">
        <v>233</v>
      </c>
      <c r="AA19" s="837">
        <f>'EQUI 66, EQUI 8, EQUI 9'!H11</f>
        <v>1.6104525000000001</v>
      </c>
      <c r="AB19" s="830">
        <f>'EQUI 66, EQUI 8, EQUI 9'!J11</f>
        <v>7.0537819500000003</v>
      </c>
      <c r="AC19" s="842">
        <f>'EQUI 66, EQUI 8, EQUI 9'!I11</f>
        <v>7.0537819500000003</v>
      </c>
      <c r="AD19" s="824" t="s">
        <v>233</v>
      </c>
      <c r="AE19" s="825"/>
      <c r="AF19" s="826" t="s">
        <v>233</v>
      </c>
      <c r="AG19" s="824" t="s">
        <v>233</v>
      </c>
      <c r="AH19" s="825"/>
      <c r="AI19" s="826" t="s">
        <v>233</v>
      </c>
      <c r="AJ19" s="827" t="s">
        <v>233</v>
      </c>
      <c r="AK19" s="832"/>
      <c r="AL19" s="828" t="s">
        <v>233</v>
      </c>
    </row>
    <row r="20" spans="1:40" s="815" customFormat="1" x14ac:dyDescent="0.2">
      <c r="A20" s="821" t="s">
        <v>625</v>
      </c>
      <c r="B20" s="821" t="s">
        <v>635</v>
      </c>
      <c r="C20" s="821" t="s">
        <v>645</v>
      </c>
      <c r="D20" s="822" t="s">
        <v>368</v>
      </c>
      <c r="E20" s="823">
        <f>'EQUI 66, EQUI 8, EQUI 9'!H20</f>
        <v>0.42868000000000006</v>
      </c>
      <c r="F20" s="784">
        <f>'EQUI 66, EQUI 8, EQUI 9'!J20</f>
        <v>18.776184000000001</v>
      </c>
      <c r="G20" s="669">
        <f>'EQUI 66, EQUI 8, EQUI 9'!I20</f>
        <v>1.8776184000000002</v>
      </c>
      <c r="H20" s="668">
        <f>'EQUI 66, EQUI 8, EQUI 9'!H21</f>
        <v>0.38366860000000003</v>
      </c>
      <c r="I20" s="135">
        <f>'EQUI 66, EQUI 8, EQUI 9'!J21</f>
        <v>16.804684679999998</v>
      </c>
      <c r="J20" s="669">
        <f>'EQUI 66, EQUI 8, EQUI 9'!I21</f>
        <v>1.6804684680000002</v>
      </c>
      <c r="K20" s="668">
        <f>'EQUI 66, EQUI 8, EQUI 9'!H22</f>
        <v>0.21862680000000001</v>
      </c>
      <c r="L20" s="135">
        <f>'EQUI 66, EQUI 8, EQUI 9'!J22</f>
        <v>9.5758538400000006</v>
      </c>
      <c r="M20" s="669">
        <f>'EQUI 66, EQUI 8, EQUI 9'!I22</f>
        <v>0.95758538400000004</v>
      </c>
      <c r="N20" s="824" t="s">
        <v>233</v>
      </c>
      <c r="O20" s="825"/>
      <c r="P20" s="826" t="s">
        <v>233</v>
      </c>
      <c r="Q20" s="827" t="s">
        <v>233</v>
      </c>
      <c r="R20" s="825"/>
      <c r="S20" s="828" t="s">
        <v>233</v>
      </c>
      <c r="T20" s="821" t="s">
        <v>625</v>
      </c>
      <c r="U20" s="821" t="s">
        <v>635</v>
      </c>
      <c r="V20" s="821" t="s">
        <v>645</v>
      </c>
      <c r="W20" s="822" t="s">
        <v>368</v>
      </c>
      <c r="X20" s="829" t="s">
        <v>233</v>
      </c>
      <c r="Y20" s="830"/>
      <c r="Z20" s="831" t="s">
        <v>233</v>
      </c>
      <c r="AA20" s="837">
        <f>'EQUI 66, EQUI 8, EQUI 9'!H23</f>
        <v>0.45547250000000006</v>
      </c>
      <c r="AB20" s="830">
        <f>'EQUI 66, EQUI 8, EQUI 9'!J23</f>
        <v>1.9949695500000002</v>
      </c>
      <c r="AC20" s="669">
        <f>'EQUI 66, EQUI 8, EQUI 9'!I23</f>
        <v>1.9949695500000002</v>
      </c>
      <c r="AD20" s="824" t="s">
        <v>233</v>
      </c>
      <c r="AE20" s="825"/>
      <c r="AF20" s="826" t="s">
        <v>233</v>
      </c>
      <c r="AG20" s="824" t="s">
        <v>233</v>
      </c>
      <c r="AH20" s="825"/>
      <c r="AI20" s="826" t="s">
        <v>233</v>
      </c>
      <c r="AJ20" s="827" t="s">
        <v>233</v>
      </c>
      <c r="AK20" s="832"/>
      <c r="AL20" s="828" t="s">
        <v>233</v>
      </c>
    </row>
    <row r="21" spans="1:40" s="815" customFormat="1" ht="13.5" thickBot="1" x14ac:dyDescent="0.25">
      <c r="A21" s="821" t="s">
        <v>626</v>
      </c>
      <c r="B21" s="821" t="s">
        <v>635</v>
      </c>
      <c r="C21" s="821" t="s">
        <v>645</v>
      </c>
      <c r="D21" s="822" t="s">
        <v>369</v>
      </c>
      <c r="E21" s="823">
        <f>'EQUI 66, EQUI 8, EQUI 9'!H32</f>
        <v>0.16515500000000002</v>
      </c>
      <c r="F21" s="784">
        <f>'EQUI 66, EQUI 8, EQUI 9'!J32</f>
        <v>7.2337889999999998</v>
      </c>
      <c r="G21" s="669">
        <f>'EQUI 66, EQUI 8, EQUI 9'!I32</f>
        <v>0.72337890000000005</v>
      </c>
      <c r="H21" s="668">
        <f>'EQUI 66, EQUI 8, EQUI 9'!H33</f>
        <v>0.14038175</v>
      </c>
      <c r="I21" s="135">
        <f>'EQUI 66, EQUI 8, EQUI 9'!J33</f>
        <v>6.1487206499999996</v>
      </c>
      <c r="J21" s="669">
        <f>'EQUI 66, EQUI 8, EQUI 9'!I33</f>
        <v>0.61487206500000002</v>
      </c>
      <c r="K21" s="668">
        <f>'EQUI 66, EQUI 8, EQUI 9'!H34</f>
        <v>4.95465E-2</v>
      </c>
      <c r="L21" s="135">
        <f>'EQUI 66, EQUI 8, EQUI 9'!J34</f>
        <v>2.1701367</v>
      </c>
      <c r="M21" s="669">
        <f>'EQUI 66, EQUI 8, EQUI 9'!I34</f>
        <v>0.21701366999999999</v>
      </c>
      <c r="N21" s="824" t="s">
        <v>233</v>
      </c>
      <c r="O21" s="825"/>
      <c r="P21" s="826" t="s">
        <v>233</v>
      </c>
      <c r="Q21" s="827" t="s">
        <v>233</v>
      </c>
      <c r="R21" s="825"/>
      <c r="S21" s="828" t="s">
        <v>233</v>
      </c>
      <c r="T21" s="821" t="s">
        <v>626</v>
      </c>
      <c r="U21" s="821" t="s">
        <v>635</v>
      </c>
      <c r="V21" s="821" t="s">
        <v>645</v>
      </c>
      <c r="W21" s="822" t="s">
        <v>369</v>
      </c>
      <c r="X21" s="829" t="s">
        <v>233</v>
      </c>
      <c r="Y21" s="830"/>
      <c r="Z21" s="831" t="s">
        <v>233</v>
      </c>
      <c r="AA21" s="837" t="s">
        <v>233</v>
      </c>
      <c r="AB21" s="830"/>
      <c r="AC21" s="831" t="s">
        <v>233</v>
      </c>
      <c r="AD21" s="824" t="s">
        <v>233</v>
      </c>
      <c r="AE21" s="825"/>
      <c r="AF21" s="826" t="s">
        <v>233</v>
      </c>
      <c r="AG21" s="824" t="s">
        <v>233</v>
      </c>
      <c r="AH21" s="825"/>
      <c r="AI21" s="826" t="s">
        <v>233</v>
      </c>
      <c r="AJ21" s="827" t="s">
        <v>233</v>
      </c>
      <c r="AK21" s="832"/>
      <c r="AL21" s="828" t="s">
        <v>233</v>
      </c>
    </row>
    <row r="22" spans="1:40" s="809" customFormat="1" ht="14.25" thickTop="1" thickBot="1" x14ac:dyDescent="0.25">
      <c r="A22" s="845" t="s">
        <v>248</v>
      </c>
      <c r="B22" s="846"/>
      <c r="C22" s="847"/>
      <c r="D22" s="848"/>
      <c r="E22" s="849">
        <f t="shared" ref="E22:O22" si="0">SUM(E8:E21)</f>
        <v>13.872801496207071</v>
      </c>
      <c r="F22" s="850">
        <f t="shared" si="0"/>
        <v>401.42450480044579</v>
      </c>
      <c r="G22" s="851">
        <f>SUM(G8:G21)</f>
        <v>60.762870553386989</v>
      </c>
      <c r="H22" s="852">
        <f t="shared" si="0"/>
        <v>12.1754536448609</v>
      </c>
      <c r="I22" s="850">
        <f t="shared" si="0"/>
        <v>342.78047050949061</v>
      </c>
      <c r="J22" s="851">
        <f t="shared" si="0"/>
        <v>53.328486964490736</v>
      </c>
      <c r="K22" s="852">
        <f t="shared" si="0"/>
        <v>7.9773247232630347</v>
      </c>
      <c r="L22" s="850">
        <f t="shared" si="0"/>
        <v>232.36001559200972</v>
      </c>
      <c r="M22" s="851">
        <f>SUM(M8:M21)</f>
        <v>34.940682287892102</v>
      </c>
      <c r="N22" s="852">
        <f t="shared" si="0"/>
        <v>91.520876754401641</v>
      </c>
      <c r="O22" s="850">
        <f t="shared" si="0"/>
        <v>400.86144018427916</v>
      </c>
      <c r="P22" s="851" t="s">
        <v>250</v>
      </c>
      <c r="Q22" s="853">
        <f t="shared" ref="Q22:AI22" si="1">SUM(Q8:Q21)</f>
        <v>21.925599085746942</v>
      </c>
      <c r="R22" s="850">
        <f t="shared" si="1"/>
        <v>96.034123995571605</v>
      </c>
      <c r="S22" s="854">
        <f>SUM(S8:S21)</f>
        <v>96.034123995571605</v>
      </c>
      <c r="T22" s="845" t="s">
        <v>248</v>
      </c>
      <c r="U22" s="846"/>
      <c r="V22" s="847"/>
      <c r="W22" s="848"/>
      <c r="X22" s="849">
        <f>SUM(X8:X21)</f>
        <v>6.0595294117647063</v>
      </c>
      <c r="Y22" s="850">
        <f t="shared" ref="Y22" si="2">SUM(Y8:Y21)</f>
        <v>26.540738823529413</v>
      </c>
      <c r="Z22" s="851">
        <f t="shared" si="1"/>
        <v>26.540738823529413</v>
      </c>
      <c r="AA22" s="852">
        <f t="shared" si="1"/>
        <v>4.8514299019607847</v>
      </c>
      <c r="AB22" s="850">
        <f t="shared" si="1"/>
        <v>21.249262970588237</v>
      </c>
      <c r="AC22" s="851">
        <f>SUM(AC8:AC21)</f>
        <v>21.249262970588237</v>
      </c>
      <c r="AD22" s="855">
        <f t="shared" si="1"/>
        <v>11970.528657078423</v>
      </c>
      <c r="AE22" s="856">
        <f t="shared" si="1"/>
        <v>52430.915518003501</v>
      </c>
      <c r="AF22" s="857">
        <f t="shared" si="1"/>
        <v>52430.915518003501</v>
      </c>
      <c r="AG22" s="858">
        <f t="shared" si="1"/>
        <v>0.12984705882352943</v>
      </c>
      <c r="AH22" s="859">
        <f t="shared" si="1"/>
        <v>0.56873011764705894</v>
      </c>
      <c r="AI22" s="860">
        <f t="shared" si="1"/>
        <v>0.56873011764705894</v>
      </c>
      <c r="AJ22" s="861">
        <f>SUM(AJ8:AJ21)</f>
        <v>0.13652443339215686</v>
      </c>
      <c r="AK22" s="859">
        <f>SUM(AK8:AK21)</f>
        <v>0.59797701825764704</v>
      </c>
      <c r="AL22" s="862">
        <f>SUM(AL8:AL21)</f>
        <v>0.59797701825764704</v>
      </c>
      <c r="AN22" s="350"/>
    </row>
    <row r="23" spans="1:40" s="809" customFormat="1" ht="14.25" thickTop="1" thickBot="1" x14ac:dyDescent="0.25">
      <c r="A23" s="846" t="s">
        <v>584</v>
      </c>
      <c r="B23" s="863"/>
      <c r="C23" s="847"/>
      <c r="D23" s="848"/>
      <c r="E23" s="849"/>
      <c r="F23" s="850"/>
      <c r="G23" s="851">
        <v>57.6</v>
      </c>
      <c r="H23" s="852"/>
      <c r="I23" s="850"/>
      <c r="J23" s="851">
        <v>50.2</v>
      </c>
      <c r="K23" s="852"/>
      <c r="L23" s="850"/>
      <c r="M23" s="851">
        <v>31.8</v>
      </c>
      <c r="N23" s="852"/>
      <c r="O23" s="850"/>
      <c r="P23" s="851" t="s">
        <v>250</v>
      </c>
      <c r="Q23" s="853"/>
      <c r="R23" s="850"/>
      <c r="S23" s="854">
        <v>96</v>
      </c>
      <c r="T23" s="846"/>
      <c r="U23" s="863"/>
      <c r="V23" s="847"/>
      <c r="W23" s="848"/>
      <c r="X23" s="849"/>
      <c r="Y23" s="850"/>
      <c r="Z23" s="851">
        <v>26.5</v>
      </c>
      <c r="AA23" s="852"/>
      <c r="AB23" s="850"/>
      <c r="AC23" s="851">
        <v>13.1</v>
      </c>
      <c r="AD23" s="855"/>
      <c r="AE23" s="856"/>
      <c r="AF23" s="857">
        <v>55220</v>
      </c>
      <c r="AG23" s="858"/>
      <c r="AH23" s="859"/>
      <c r="AI23" s="860">
        <v>0.56999999999999995</v>
      </c>
      <c r="AJ23" s="861"/>
      <c r="AK23" s="859"/>
      <c r="AL23" s="862">
        <v>0.6</v>
      </c>
      <c r="AN23" s="350"/>
    </row>
    <row r="24" spans="1:40" s="815" customFormat="1" ht="14.25" thickTop="1" thickBot="1" x14ac:dyDescent="0.25">
      <c r="A24" s="791" t="s">
        <v>317</v>
      </c>
      <c r="B24" s="792"/>
      <c r="C24" s="793"/>
      <c r="D24" s="794"/>
      <c r="E24" s="795"/>
      <c r="F24" s="796"/>
      <c r="G24" s="797"/>
      <c r="H24" s="798"/>
      <c r="I24" s="796"/>
      <c r="J24" s="797"/>
      <c r="K24" s="798"/>
      <c r="L24" s="796"/>
      <c r="M24" s="797"/>
      <c r="N24" s="799"/>
      <c r="O24" s="800"/>
      <c r="P24" s="801"/>
      <c r="Q24" s="800"/>
      <c r="R24" s="800"/>
      <c r="S24" s="802"/>
      <c r="T24" s="791" t="s">
        <v>317</v>
      </c>
      <c r="U24" s="792"/>
      <c r="V24" s="793"/>
      <c r="W24" s="794"/>
      <c r="X24" s="803"/>
      <c r="Y24" s="804"/>
      <c r="Z24" s="805"/>
      <c r="AA24" s="806"/>
      <c r="AB24" s="807"/>
      <c r="AC24" s="808"/>
      <c r="AD24" s="799"/>
      <c r="AE24" s="800"/>
      <c r="AF24" s="801"/>
      <c r="AG24" s="799"/>
      <c r="AH24" s="800"/>
      <c r="AI24" s="801"/>
      <c r="AJ24" s="800"/>
      <c r="AK24" s="800"/>
      <c r="AL24" s="802"/>
    </row>
    <row r="25" spans="1:40" s="815" customFormat="1" ht="13.5" thickTop="1" x14ac:dyDescent="0.2">
      <c r="A25" s="864" t="s">
        <v>613</v>
      </c>
      <c r="B25" s="865" t="s">
        <v>233</v>
      </c>
      <c r="C25" s="864" t="s">
        <v>636</v>
      </c>
      <c r="D25" s="866" t="s">
        <v>360</v>
      </c>
      <c r="E25" s="867">
        <f t="shared" ref="E25:AL25" si="3">E8</f>
        <v>6.3229800000000012</v>
      </c>
      <c r="F25" s="868">
        <f t="shared" si="3"/>
        <v>27.694652400000006</v>
      </c>
      <c r="G25" s="869">
        <f t="shared" si="3"/>
        <v>27.694652400000006</v>
      </c>
      <c r="H25" s="870">
        <f t="shared" si="3"/>
        <v>5.5074900000000016</v>
      </c>
      <c r="I25" s="868">
        <f t="shared" si="3"/>
        <v>24.122806200000007</v>
      </c>
      <c r="J25" s="869">
        <f t="shared" si="3"/>
        <v>24.122806200000007</v>
      </c>
      <c r="K25" s="870">
        <f t="shared" si="3"/>
        <v>3.7649900000000005</v>
      </c>
      <c r="L25" s="868">
        <f t="shared" si="3"/>
        <v>16.4906562</v>
      </c>
      <c r="M25" s="869">
        <f t="shared" si="3"/>
        <v>16.4906562</v>
      </c>
      <c r="N25" s="870">
        <f t="shared" si="3"/>
        <v>80.070000000000007</v>
      </c>
      <c r="O25" s="868">
        <f t="shared" si="3"/>
        <v>350.70660000000004</v>
      </c>
      <c r="P25" s="869">
        <f t="shared" si="3"/>
        <v>350.70660000000004</v>
      </c>
      <c r="Q25" s="868">
        <f t="shared" si="3"/>
        <v>18.700000000000003</v>
      </c>
      <c r="R25" s="868">
        <f t="shared" si="3"/>
        <v>81.90600000000002</v>
      </c>
      <c r="S25" s="871">
        <f t="shared" si="3"/>
        <v>81.90600000000002</v>
      </c>
      <c r="T25" s="864" t="s">
        <v>613</v>
      </c>
      <c r="U25" s="865" t="s">
        <v>233</v>
      </c>
      <c r="V25" s="864" t="s">
        <v>636</v>
      </c>
      <c r="W25" s="866" t="s">
        <v>360</v>
      </c>
      <c r="X25" s="867">
        <f t="shared" si="3"/>
        <v>4.2</v>
      </c>
      <c r="Y25" s="868">
        <f t="shared" si="3"/>
        <v>18.396000000000001</v>
      </c>
      <c r="Z25" s="869">
        <f t="shared" si="3"/>
        <v>18.396000000000001</v>
      </c>
      <c r="AA25" s="870">
        <f t="shared" si="3"/>
        <v>0.27500000000000002</v>
      </c>
      <c r="AB25" s="868">
        <f t="shared" si="3"/>
        <v>1.2044999999999999</v>
      </c>
      <c r="AC25" s="869">
        <f t="shared" si="3"/>
        <v>1.2044999999999999</v>
      </c>
      <c r="AD25" s="677">
        <f t="shared" si="3"/>
        <v>8358.1995999999999</v>
      </c>
      <c r="AE25" s="433">
        <f t="shared" si="3"/>
        <v>36608.914248000008</v>
      </c>
      <c r="AF25" s="678">
        <f t="shared" si="3"/>
        <v>36608.914248000008</v>
      </c>
      <c r="AG25" s="870">
        <f t="shared" si="3"/>
        <v>9.0000000000000011E-2</v>
      </c>
      <c r="AH25" s="868">
        <f t="shared" si="3"/>
        <v>0.39420000000000005</v>
      </c>
      <c r="AI25" s="869">
        <f t="shared" si="3"/>
        <v>0.39420000000000005</v>
      </c>
      <c r="AJ25" s="868">
        <f t="shared" si="3"/>
        <v>9.4720349999999995E-2</v>
      </c>
      <c r="AK25" s="868">
        <f t="shared" si="3"/>
        <v>0.41487513300000001</v>
      </c>
      <c r="AL25" s="434">
        <f t="shared" si="3"/>
        <v>0.41487513300000001</v>
      </c>
      <c r="AN25" s="350"/>
    </row>
    <row r="26" spans="1:40" s="815" customFormat="1" x14ac:dyDescent="0.2">
      <c r="A26" s="872" t="s">
        <v>614</v>
      </c>
      <c r="B26" s="873" t="s">
        <v>627</v>
      </c>
      <c r="C26" s="873" t="s">
        <v>637</v>
      </c>
      <c r="D26" s="874" t="s">
        <v>358</v>
      </c>
      <c r="E26" s="875">
        <f>'Combustion (Proposed)'!L51+'EQUI 4'!H36</f>
        <v>1.4719705808826156</v>
      </c>
      <c r="F26" s="663">
        <f>'Combustion (Proposed)'!M51+'EQUI 4'!J36</f>
        <v>59.826548791324676</v>
      </c>
      <c r="G26" s="671">
        <f>'Combustion (Proposed)'!N51+'EQUI 4'!I36</f>
        <v>6.4472311442658565</v>
      </c>
      <c r="H26" s="670">
        <f>'Combustion (Proposed)'!L52+'EQUI 4'!H37</f>
        <v>1.302139923574158</v>
      </c>
      <c r="I26" s="361">
        <f>'Combustion (Proposed)'!M52+'EQUI 4'!J37</f>
        <v>53.795772865254804</v>
      </c>
      <c r="J26" s="671">
        <f>'Combustion (Proposed)'!N52+'EQUI 4'!I37</f>
        <v>5.7033728652548117</v>
      </c>
      <c r="K26" s="670">
        <f>'Combustion (Proposed)'!L53+'EQUI 4'!H38</f>
        <v>0.78359046000457977</v>
      </c>
      <c r="L26" s="361">
        <f>'Combustion (Proposed)'!M53+'EQUI 4'!J38</f>
        <v>32.139161508937704</v>
      </c>
      <c r="M26" s="671">
        <f>'Combustion (Proposed)'!N53+'EQUI 4'!I38</f>
        <v>3.4321262148200593</v>
      </c>
      <c r="N26" s="670">
        <f>'Combustion (Proposed)'!L54</f>
        <v>0.25356237277240107</v>
      </c>
      <c r="O26" s="361">
        <f>'Combustion (Proposed)'!M54</f>
        <v>1.1106031927431168</v>
      </c>
      <c r="P26" s="671">
        <f>'Combustion (Proposed)'!N54</f>
        <v>1.1106031927431168</v>
      </c>
      <c r="Q26" s="663">
        <f>'Combustion (Proposed)'!L55</f>
        <v>0.71426020499267895</v>
      </c>
      <c r="R26" s="361">
        <f>'Combustion (Proposed)'!M55</f>
        <v>3.1284596978679335</v>
      </c>
      <c r="S26" s="364">
        <f>'Combustion (Proposed)'!N55</f>
        <v>3.1284596978679335</v>
      </c>
      <c r="T26" s="872" t="s">
        <v>614</v>
      </c>
      <c r="U26" s="873" t="s">
        <v>627</v>
      </c>
      <c r="V26" s="873" t="s">
        <v>637</v>
      </c>
      <c r="W26" s="874" t="s">
        <v>358</v>
      </c>
      <c r="X26" s="875">
        <f>'Combustion (Proposed)'!L57</f>
        <v>0.41176470588235292</v>
      </c>
      <c r="Y26" s="361">
        <f>'Combustion (Proposed)'!M57</f>
        <v>1.8035294117647058</v>
      </c>
      <c r="Z26" s="671">
        <f>'Combustion (Proposed)'!N57</f>
        <v>1.8035294117647058</v>
      </c>
      <c r="AA26" s="670">
        <f>'Combustion (Proposed)'!O121+'EQUI 4'!H39</f>
        <v>0.24370491803278688</v>
      </c>
      <c r="AB26" s="361">
        <f>'Combustion (Proposed)'!P121+'EQUI 4'!I39</f>
        <v>1.0674275409836067</v>
      </c>
      <c r="AC26" s="671">
        <f>'Combustion (Proposed)'!Q121+'EQUI 4'!I39</f>
        <v>1.0674275409836067</v>
      </c>
      <c r="AD26" s="679">
        <f>'Combustion (Proposed)'!L62</f>
        <v>799.21359951430338</v>
      </c>
      <c r="AE26" s="363">
        <f>'Combustion (Proposed)'!M62</f>
        <v>3500.5555658726489</v>
      </c>
      <c r="AF26" s="680">
        <f>'Combustion (Proposed)'!N62</f>
        <v>3500.5555658726489</v>
      </c>
      <c r="AG26" s="685">
        <f>'Combustion (Proposed)'!L29</f>
        <v>8.8235294117647058E-3</v>
      </c>
      <c r="AH26" s="362">
        <f>'Combustion (Proposed)'!M29</f>
        <v>3.8647058823529416E-2</v>
      </c>
      <c r="AI26" s="671">
        <f>'Combustion (Proposed)'!N29</f>
        <v>3.8647058823529416E-2</v>
      </c>
      <c r="AJ26" s="663">
        <f>'Combustion (Proposed)'!L49</f>
        <v>9.2605735294117638E-3</v>
      </c>
      <c r="AK26" s="361">
        <f>'Combustion (Proposed)'!M49</f>
        <v>4.0561312058823525E-2</v>
      </c>
      <c r="AL26" s="364">
        <f>'Combustion (Proposed)'!N49</f>
        <v>4.0561312058823525E-2</v>
      </c>
      <c r="AN26" s="350"/>
    </row>
    <row r="27" spans="1:40" s="815" customFormat="1" x14ac:dyDescent="0.2">
      <c r="A27" s="872" t="s">
        <v>617</v>
      </c>
      <c r="B27" s="876" t="s">
        <v>233</v>
      </c>
      <c r="C27" s="873" t="s">
        <v>640</v>
      </c>
      <c r="D27" s="874" t="s">
        <v>361</v>
      </c>
      <c r="E27" s="875">
        <f>'Combustion (Proposed)'!O116</f>
        <v>0.41437091532445264</v>
      </c>
      <c r="F27" s="663">
        <f>'Combustion (Proposed)'!P116</f>
        <v>1.8149446091211026</v>
      </c>
      <c r="G27" s="671">
        <f>'Combustion (Proposed)'!Q116</f>
        <v>1.8149446091211026</v>
      </c>
      <c r="H27" s="670">
        <f>'Combustion (Proposed)'!O117</f>
        <v>0.28880397128673974</v>
      </c>
      <c r="I27" s="361">
        <f>'Combustion (Proposed)'!P117</f>
        <v>1.2649613942359201</v>
      </c>
      <c r="J27" s="671">
        <f>'Combustion (Proposed)'!Q117</f>
        <v>1.2649613942359201</v>
      </c>
      <c r="K27" s="670">
        <f>'Combustion (Proposed)'!O118</f>
        <v>0.19462876325845505</v>
      </c>
      <c r="L27" s="361">
        <f>'Combustion (Proposed)'!P118</f>
        <v>0.85247398307203315</v>
      </c>
      <c r="M27" s="671">
        <f>'Combustion (Proposed)'!Q118</f>
        <v>0.85247398307203315</v>
      </c>
      <c r="N27" s="670">
        <f>'Combustion (Proposed)'!O119</f>
        <v>2.1974999999999998</v>
      </c>
      <c r="O27" s="361">
        <f>'Combustion (Proposed)'!P119</f>
        <v>9.6250499999999999</v>
      </c>
      <c r="P27" s="671">
        <f>'Combustion (Proposed)'!Q119</f>
        <v>9.6250499999999999</v>
      </c>
      <c r="Q27" s="663">
        <f>'Combustion (Proposed)'!O120</f>
        <v>3.139309660988729</v>
      </c>
      <c r="R27" s="361">
        <f>'Combustion (Proposed)'!P120</f>
        <v>13.750176315130632</v>
      </c>
      <c r="S27" s="364">
        <f>'Combustion (Proposed)'!Q120</f>
        <v>13.750176315130632</v>
      </c>
      <c r="T27" s="872" t="s">
        <v>617</v>
      </c>
      <c r="U27" s="876" t="s">
        <v>233</v>
      </c>
      <c r="V27" s="873" t="s">
        <v>640</v>
      </c>
      <c r="W27" s="874" t="s">
        <v>361</v>
      </c>
      <c r="X27" s="875">
        <f>'Combustion (Proposed)'!O122</f>
        <v>1.4477647058823528</v>
      </c>
      <c r="Y27" s="361">
        <f>'Combustion (Proposed)'!P122</f>
        <v>6.341209411764706</v>
      </c>
      <c r="Z27" s="671">
        <f>'Combustion (Proposed)'!Q122</f>
        <v>6.341209411764706</v>
      </c>
      <c r="AA27" s="670">
        <f>'Combustion (Proposed)'!O121</f>
        <v>0.15370491803278688</v>
      </c>
      <c r="AB27" s="361">
        <f>'Combustion (Proposed)'!P121</f>
        <v>0.6732275409836066</v>
      </c>
      <c r="AC27" s="671">
        <f>'Combustion (Proposed)'!Q121</f>
        <v>0.6732275409836066</v>
      </c>
      <c r="AD27" s="681">
        <f>'Combustion (Proposed)'!O129</f>
        <v>3178.6310099999992</v>
      </c>
      <c r="AE27" s="330">
        <f>'Combustion (Proposed)'!P129</f>
        <v>13922.403823799996</v>
      </c>
      <c r="AF27" s="680">
        <f>'Combustion (Proposed)'!Q129</f>
        <v>13922.403823799996</v>
      </c>
      <c r="AG27" s="685">
        <f>'Combustion (Proposed)'!O94</f>
        <v>3.1023529411764703E-2</v>
      </c>
      <c r="AH27" s="362">
        <f>'Combustion (Proposed)'!P94</f>
        <v>0.13588305882352941</v>
      </c>
      <c r="AI27" s="671">
        <f>'Combustion (Proposed)'!Q94</f>
        <v>0.13588305882352941</v>
      </c>
      <c r="AJ27" s="663">
        <f>'Combustion (Proposed)'!O114</f>
        <v>3.2560176529411761E-2</v>
      </c>
      <c r="AK27" s="361">
        <f>'Combustion (Proposed)'!P114</f>
        <v>0.14261357319882351</v>
      </c>
      <c r="AL27" s="364">
        <f>'Combustion (Proposed)'!Q114</f>
        <v>0.14261357319882351</v>
      </c>
      <c r="AN27" s="350"/>
    </row>
    <row r="28" spans="1:40" s="815" customFormat="1" ht="13.5" thickBot="1" x14ac:dyDescent="0.25">
      <c r="A28" s="877" t="s">
        <v>646</v>
      </c>
      <c r="B28" s="930" t="s">
        <v>233</v>
      </c>
      <c r="C28" s="877" t="s">
        <v>647</v>
      </c>
      <c r="D28" s="878" t="s">
        <v>362</v>
      </c>
      <c r="E28" s="879">
        <f>'Combustion (Proposed)'!O184</f>
        <v>3.8498625049105391</v>
      </c>
      <c r="F28" s="880">
        <f>'Combustion (Proposed)'!P184</f>
        <v>16.86239777150816</v>
      </c>
      <c r="G28" s="881">
        <f>'Combustion (Proposed)'!Q184</f>
        <v>16.86239777150816</v>
      </c>
      <c r="H28" s="882">
        <f>'Combustion (Proposed)'!O185</f>
        <v>2.379915003035606</v>
      </c>
      <c r="I28" s="880">
        <f>'Combustion (Proposed)'!P185</f>
        <v>10.424027713295954</v>
      </c>
      <c r="J28" s="881">
        <f>'Combustion (Proposed)'!Q185</f>
        <v>10.424027713295954</v>
      </c>
      <c r="K28" s="882">
        <f>'Combustion (Proposed)'!O186</f>
        <v>1.2774543766294062</v>
      </c>
      <c r="L28" s="880">
        <f>'Combustion (Proposed)'!P186</f>
        <v>5.5952501696367989</v>
      </c>
      <c r="M28" s="881">
        <f>'Combustion (Proposed)'!Q186</f>
        <v>5.5952501696367989</v>
      </c>
      <c r="N28" s="883">
        <f>'Combustion (Proposed)'!O187</f>
        <v>12.250000000000002</v>
      </c>
      <c r="O28" s="884">
        <f>'Combustion (Proposed)'!P187</f>
        <v>53.655000000000008</v>
      </c>
      <c r="P28" s="661">
        <f>'Combustion (Proposed)'!Q187</f>
        <v>53.655000000000008</v>
      </c>
      <c r="Q28" s="884">
        <f>'Combustion (Proposed)'!O188</f>
        <v>10.044519263463686</v>
      </c>
      <c r="R28" s="884">
        <f>'Combustion (Proposed)'!P188</f>
        <v>76.650584691854505</v>
      </c>
      <c r="S28" s="885">
        <f>'Combustion (Proposed)'!Q188</f>
        <v>43.99499437397094</v>
      </c>
      <c r="T28" s="877" t="s">
        <v>646</v>
      </c>
      <c r="U28" s="930" t="s">
        <v>233</v>
      </c>
      <c r="V28" s="877" t="s">
        <v>647</v>
      </c>
      <c r="W28" s="878" t="s">
        <v>362</v>
      </c>
      <c r="X28" s="886">
        <f>'Combustion (Proposed)'!O190</f>
        <v>8.0705882352941174</v>
      </c>
      <c r="Y28" s="887">
        <f>'Combustion (Proposed)'!P190</f>
        <v>35.349176470588233</v>
      </c>
      <c r="Z28" s="888">
        <f>'Combustion (Proposed)'!Q190</f>
        <v>35.349176470588233</v>
      </c>
      <c r="AA28" s="889">
        <f>'Combustion (Proposed)'!O189</f>
        <v>0.85683060109289633</v>
      </c>
      <c r="AB28" s="890">
        <f>'Combustion (Proposed)'!P189</f>
        <v>3.7529180327868858</v>
      </c>
      <c r="AC28" s="891">
        <f>'Combustion (Proposed)'!Q189</f>
        <v>3.7529180327868858</v>
      </c>
      <c r="AD28" s="681">
        <f>'Combustion (Proposed)'!O197</f>
        <v>17719.331000000002</v>
      </c>
      <c r="AE28" s="330">
        <f>'Combustion (Proposed)'!P197</f>
        <v>77610.669779999997</v>
      </c>
      <c r="AF28" s="682">
        <f>'Combustion (Proposed)'!Q197</f>
        <v>77610.669779999997</v>
      </c>
      <c r="AG28" s="892">
        <f>'Combustion (Proposed)'!O162</f>
        <v>0.17294117647058824</v>
      </c>
      <c r="AH28" s="893">
        <f>'Combustion (Proposed)'!P162</f>
        <v>0.7574823529411765</v>
      </c>
      <c r="AI28" s="894">
        <f>'Combustion (Proposed)'!Q162</f>
        <v>0.7574823529411765</v>
      </c>
      <c r="AJ28" s="884">
        <f>'Combustion (Proposed)'!O182</f>
        <v>0.18150724117647055</v>
      </c>
      <c r="AK28" s="884">
        <f>'Combustion (Proposed)'!P182</f>
        <v>0.79500171635294103</v>
      </c>
      <c r="AL28" s="885">
        <f>'Combustion (Proposed)'!Q182</f>
        <v>0.79500171635294103</v>
      </c>
      <c r="AN28" s="350"/>
    </row>
    <row r="29" spans="1:40" s="809" customFormat="1" ht="14.25" thickTop="1" thickBot="1" x14ac:dyDescent="0.25">
      <c r="A29" s="941" t="s">
        <v>249</v>
      </c>
      <c r="B29" s="942"/>
      <c r="C29" s="942"/>
      <c r="D29" s="895"/>
      <c r="E29" s="849">
        <f t="shared" ref="E29:S29" si="4">SUM(E10:E11,E13:E21,E26:E28)</f>
        <v>11.399684001117608</v>
      </c>
      <c r="F29" s="850">
        <f t="shared" si="4"/>
        <v>390.59225017195394</v>
      </c>
      <c r="G29" s="896">
        <f t="shared" si="4"/>
        <v>49.930615924895122</v>
      </c>
      <c r="H29" s="852">
        <f t="shared" si="4"/>
        <v>9.0478786478965034</v>
      </c>
      <c r="I29" s="850">
        <f t="shared" si="4"/>
        <v>329.08169202278663</v>
      </c>
      <c r="J29" s="896">
        <f t="shared" si="4"/>
        <v>39.629708477786686</v>
      </c>
      <c r="K29" s="852">
        <f t="shared" si="4"/>
        <v>5.4897890998924419</v>
      </c>
      <c r="L29" s="850">
        <f t="shared" si="4"/>
        <v>221.46460956164651</v>
      </c>
      <c r="M29" s="896">
        <f t="shared" si="4"/>
        <v>24.045276257528897</v>
      </c>
      <c r="N29" s="852">
        <f t="shared" si="4"/>
        <v>14.701062372772402</v>
      </c>
      <c r="O29" s="850">
        <f t="shared" si="4"/>
        <v>64.39065319274313</v>
      </c>
      <c r="P29" s="896">
        <f t="shared" si="4"/>
        <v>64.39065319274313</v>
      </c>
      <c r="Q29" s="852">
        <f t="shared" si="4"/>
        <v>13.898089129445093</v>
      </c>
      <c r="R29" s="850">
        <f t="shared" si="4"/>
        <v>93.529220704853074</v>
      </c>
      <c r="S29" s="854">
        <f t="shared" si="4"/>
        <v>60.873630386969509</v>
      </c>
      <c r="T29" s="941" t="s">
        <v>249</v>
      </c>
      <c r="U29" s="942"/>
      <c r="V29" s="942"/>
      <c r="W29" s="895"/>
      <c r="X29" s="849">
        <f t="shared" ref="X29:AL29" si="5">SUM(X10:X11,X13:X21,X26:X28)</f>
        <v>9.9301176470588235</v>
      </c>
      <c r="Y29" s="850">
        <f t="shared" si="5"/>
        <v>43.493915294117642</v>
      </c>
      <c r="Z29" s="896">
        <f t="shared" si="5"/>
        <v>43.493915294117642</v>
      </c>
      <c r="AA29" s="852">
        <f t="shared" si="5"/>
        <v>5.6189154371584706</v>
      </c>
      <c r="AB29" s="850">
        <f t="shared" si="5"/>
        <v>24.610849614754105</v>
      </c>
      <c r="AC29" s="851">
        <f t="shared" si="5"/>
        <v>24.610849614754105</v>
      </c>
      <c r="AD29" s="855">
        <f t="shared" si="5"/>
        <v>21697.175609514306</v>
      </c>
      <c r="AE29" s="856">
        <f t="shared" si="5"/>
        <v>95033.62916967264</v>
      </c>
      <c r="AF29" s="897">
        <f t="shared" si="5"/>
        <v>95033.62916967264</v>
      </c>
      <c r="AG29" s="858">
        <f t="shared" si="5"/>
        <v>0.21278823529411764</v>
      </c>
      <c r="AH29" s="859">
        <f t="shared" si="5"/>
        <v>0.93201247058823533</v>
      </c>
      <c r="AI29" s="898">
        <f t="shared" si="5"/>
        <v>0.93201247058823533</v>
      </c>
      <c r="AJ29" s="858">
        <f t="shared" si="5"/>
        <v>0.22332799123529407</v>
      </c>
      <c r="AK29" s="859">
        <f t="shared" si="5"/>
        <v>0.97817660161058806</v>
      </c>
      <c r="AL29" s="899">
        <f t="shared" si="5"/>
        <v>0.97817660161058806</v>
      </c>
      <c r="AN29" s="350"/>
    </row>
    <row r="30" spans="1:40" s="809" customFormat="1" ht="14.25" thickTop="1" thickBot="1" x14ac:dyDescent="0.25">
      <c r="A30" s="900" t="s">
        <v>588</v>
      </c>
      <c r="B30" s="901"/>
      <c r="C30" s="901"/>
      <c r="D30" s="895"/>
      <c r="E30" s="849"/>
      <c r="F30" s="850">
        <f>F28-F21</f>
        <v>9.6286087715081603</v>
      </c>
      <c r="G30" s="896">
        <f>G29-G23</f>
        <v>-7.6693840751048796</v>
      </c>
      <c r="H30" s="852"/>
      <c r="I30" s="850">
        <f>I28-I21</f>
        <v>4.2753070632959549</v>
      </c>
      <c r="J30" s="896">
        <f>J29-J23</f>
        <v>-10.570291522213317</v>
      </c>
      <c r="K30" s="852"/>
      <c r="L30" s="850">
        <f>L28-L21</f>
        <v>3.4251134696367989</v>
      </c>
      <c r="M30" s="896">
        <f>M29-M23</f>
        <v>-7.7547237424711035</v>
      </c>
      <c r="N30" s="852"/>
      <c r="O30" s="850">
        <f>O28-O21</f>
        <v>53.655000000000008</v>
      </c>
      <c r="P30" s="896">
        <f>P29-240</f>
        <v>-175.60934680725688</v>
      </c>
      <c r="Q30" s="852"/>
      <c r="R30" s="850">
        <f>R28-R21</f>
        <v>76.650584691854505</v>
      </c>
      <c r="S30" s="851">
        <f>S29-S23</f>
        <v>-35.126369613030491</v>
      </c>
      <c r="T30" s="900" t="s">
        <v>588</v>
      </c>
      <c r="U30" s="900"/>
      <c r="V30" s="900"/>
      <c r="W30" s="895"/>
      <c r="X30" s="849"/>
      <c r="Y30" s="850">
        <f>Y28-Y21</f>
        <v>35.349176470588233</v>
      </c>
      <c r="Z30" s="896">
        <f>Z29-Z23</f>
        <v>16.993915294117642</v>
      </c>
      <c r="AA30" s="852"/>
      <c r="AB30" s="850">
        <f>AB28-AB21</f>
        <v>3.7529180327868858</v>
      </c>
      <c r="AC30" s="851">
        <f>AC29-AC23</f>
        <v>11.510849614754106</v>
      </c>
      <c r="AD30" s="855"/>
      <c r="AE30" s="856">
        <f>AE28-AE21</f>
        <v>77610.669779999997</v>
      </c>
      <c r="AF30" s="897">
        <f>AF29-AF23</f>
        <v>39813.62916967264</v>
      </c>
      <c r="AG30" s="858"/>
      <c r="AH30" s="859">
        <f>AH28-AH21</f>
        <v>0.7574823529411765</v>
      </c>
      <c r="AI30" s="898">
        <f>AI29-AI23</f>
        <v>0.36201247058823538</v>
      </c>
      <c r="AJ30" s="858"/>
      <c r="AK30" s="859">
        <f>AK28-AK21</f>
        <v>0.79500171635294103</v>
      </c>
      <c r="AL30" s="862">
        <f>AL29-AL23</f>
        <v>0.37817660161058808</v>
      </c>
      <c r="AN30" s="350"/>
    </row>
    <row r="31" spans="1:40" s="809" customFormat="1" ht="14.25" thickTop="1" thickBot="1" x14ac:dyDescent="0.25">
      <c r="A31" s="900" t="s">
        <v>587</v>
      </c>
      <c r="B31" s="901"/>
      <c r="C31" s="901"/>
      <c r="D31" s="895"/>
      <c r="E31" s="849">
        <f>E29-E22</f>
        <v>-2.473117495089463</v>
      </c>
      <c r="F31" s="850">
        <f>F29-F22</f>
        <v>-10.832254628491853</v>
      </c>
      <c r="G31" s="896">
        <f>G29-G22</f>
        <v>-10.832254628491867</v>
      </c>
      <c r="H31" s="852">
        <f>H29-H22</f>
        <v>-3.1275749969643964</v>
      </c>
      <c r="I31" s="850">
        <f>I29-I22</f>
        <v>-13.698778486703986</v>
      </c>
      <c r="J31" s="896">
        <f>J29-J22</f>
        <v>-13.69877848670405</v>
      </c>
      <c r="K31" s="852">
        <f>K29-K22</f>
        <v>-2.4875356233705928</v>
      </c>
      <c r="L31" s="850">
        <f>L29-L22</f>
        <v>-10.895406030363205</v>
      </c>
      <c r="M31" s="896">
        <f>M29-M22</f>
        <v>-10.895406030363205</v>
      </c>
      <c r="N31" s="852">
        <f>N29-N22</f>
        <v>-76.819814381629243</v>
      </c>
      <c r="O31" s="850">
        <f>O29-O22</f>
        <v>-336.47078699153604</v>
      </c>
      <c r="P31" s="896">
        <f>P29-240</f>
        <v>-175.60934680725688</v>
      </c>
      <c r="Q31" s="852">
        <f>Q29-Q22</f>
        <v>-8.0275099563018486</v>
      </c>
      <c r="R31" s="850">
        <f>R29-R22</f>
        <v>-2.5049032907185307</v>
      </c>
      <c r="S31" s="854">
        <f>S29-S22</f>
        <v>-35.160493608602096</v>
      </c>
      <c r="T31" s="900" t="s">
        <v>587</v>
      </c>
      <c r="U31" s="900"/>
      <c r="V31" s="900"/>
      <c r="W31" s="895"/>
      <c r="X31" s="849">
        <f>X29-X22</f>
        <v>3.8705882352941172</v>
      </c>
      <c r="Y31" s="850">
        <f>Y29-Y22</f>
        <v>16.953176470588229</v>
      </c>
      <c r="Z31" s="896">
        <f>Z29-Z22</f>
        <v>16.953176470588229</v>
      </c>
      <c r="AA31" s="852">
        <f>AA29-AA22</f>
        <v>0.76748553519768592</v>
      </c>
      <c r="AB31" s="850">
        <f>AB29-AB22</f>
        <v>3.3615866441658682</v>
      </c>
      <c r="AC31" s="851">
        <f>AC29-AC22</f>
        <v>3.3615866441658682</v>
      </c>
      <c r="AD31" s="855">
        <f>AD29-AD22</f>
        <v>9726.6469524358836</v>
      </c>
      <c r="AE31" s="856">
        <f>AE29-AE22</f>
        <v>42602.713651669139</v>
      </c>
      <c r="AF31" s="897">
        <f>AF29-AF22</f>
        <v>42602.713651669139</v>
      </c>
      <c r="AG31" s="852">
        <f>AG29-AG22</f>
        <v>8.2941176470588213E-2</v>
      </c>
      <c r="AH31" s="850">
        <f>AH29-AH22</f>
        <v>0.36328235294117639</v>
      </c>
      <c r="AI31" s="896">
        <f>AI29-AI22</f>
        <v>0.36328235294117639</v>
      </c>
      <c r="AJ31" s="852">
        <f>AJ29-AJ22</f>
        <v>8.6803557843137202E-2</v>
      </c>
      <c r="AK31" s="850">
        <f>AK29-AK22</f>
        <v>0.38019958335294102</v>
      </c>
      <c r="AL31" s="902">
        <f>AL29-AL22</f>
        <v>0.38019958335294102</v>
      </c>
      <c r="AN31" s="350"/>
    </row>
    <row r="32" spans="1:40" ht="13.5" thickTop="1" x14ac:dyDescent="0.2">
      <c r="A32" s="651" t="s">
        <v>585</v>
      </c>
      <c r="B32" s="143"/>
      <c r="C32" s="143"/>
      <c r="D32" s="143"/>
      <c r="T32" s="651" t="s">
        <v>585</v>
      </c>
      <c r="U32" s="143"/>
      <c r="V32" s="143"/>
      <c r="W32" s="143"/>
    </row>
    <row r="33" spans="1:38" ht="15.75" x14ac:dyDescent="0.3">
      <c r="A33" s="651" t="s">
        <v>256</v>
      </c>
      <c r="B33" s="143"/>
      <c r="C33" s="143"/>
      <c r="D33" s="143"/>
      <c r="T33" s="651" t="s">
        <v>256</v>
      </c>
      <c r="U33" s="143"/>
      <c r="V33" s="143"/>
      <c r="W33" s="143"/>
    </row>
    <row r="34" spans="1:38" x14ac:dyDescent="0.2">
      <c r="A34" s="651" t="s">
        <v>586</v>
      </c>
      <c r="B34" s="143"/>
      <c r="C34" s="143"/>
      <c r="D34" s="143"/>
      <c r="T34" s="651" t="s">
        <v>586</v>
      </c>
      <c r="U34" s="143"/>
      <c r="V34" s="143"/>
      <c r="W34" s="143"/>
    </row>
    <row r="35" spans="1:38" ht="14.25" customHeight="1" x14ac:dyDescent="0.2">
      <c r="A35" t="s">
        <v>562</v>
      </c>
      <c r="B35" s="649"/>
      <c r="C35" s="649"/>
      <c r="D35" s="649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50"/>
      <c r="S35" s="650"/>
      <c r="T35" t="s">
        <v>562</v>
      </c>
      <c r="U35" s="650"/>
      <c r="V35" s="650"/>
      <c r="W35" s="650"/>
      <c r="X35" s="650"/>
      <c r="Y35" s="650"/>
      <c r="Z35" s="650"/>
      <c r="AA35" s="650"/>
      <c r="AB35" s="650"/>
      <c r="AC35" s="650"/>
      <c r="AD35" s="650"/>
      <c r="AE35" s="650"/>
      <c r="AF35" s="650"/>
      <c r="AG35" s="650"/>
      <c r="AH35" s="650"/>
      <c r="AI35" s="650"/>
      <c r="AJ35" s="650"/>
      <c r="AK35" s="650"/>
      <c r="AL35" s="650"/>
    </row>
    <row r="36" spans="1:38" x14ac:dyDescent="0.2"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  <c r="P36" s="365"/>
      <c r="Q36" s="365"/>
      <c r="R36" s="365"/>
      <c r="S36" s="365"/>
      <c r="X36" s="365"/>
      <c r="Y36" s="365"/>
      <c r="Z36" s="365"/>
      <c r="AA36" s="365"/>
      <c r="AB36" s="365"/>
      <c r="AC36" s="365"/>
      <c r="AD36" s="365"/>
      <c r="AE36" s="365"/>
      <c r="AF36" s="365"/>
      <c r="AG36" s="365"/>
      <c r="AH36" s="365"/>
      <c r="AI36" s="365"/>
      <c r="AJ36" s="365"/>
      <c r="AK36" s="365"/>
      <c r="AL36" s="365"/>
    </row>
    <row r="37" spans="1:38" x14ac:dyDescent="0.2"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6"/>
      <c r="AK37" s="366"/>
      <c r="AL37" s="366"/>
    </row>
    <row r="38" spans="1:38" x14ac:dyDescent="0.2">
      <c r="G38" s="2"/>
      <c r="J38" s="2"/>
      <c r="K38" s="2"/>
      <c r="L38" s="2"/>
      <c r="M38" s="2"/>
    </row>
    <row r="39" spans="1:38" x14ac:dyDescent="0.2">
      <c r="K39" s="2"/>
      <c r="L39" s="2"/>
    </row>
    <row r="40" spans="1:38" x14ac:dyDescent="0.2">
      <c r="G40" s="2"/>
      <c r="J40" s="2"/>
      <c r="M40" s="2"/>
      <c r="N40" s="2"/>
      <c r="O40" s="2"/>
      <c r="P40" s="2"/>
      <c r="Q40" s="2"/>
      <c r="R40" s="2"/>
      <c r="S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179" spans="11:19" x14ac:dyDescent="0.2">
      <c r="K179" s="164"/>
      <c r="L179" s="164"/>
      <c r="M179" s="164"/>
      <c r="N179" s="164"/>
      <c r="O179" s="164"/>
      <c r="P179" s="164"/>
      <c r="Q179" s="164"/>
      <c r="R179" s="164"/>
      <c r="S179" s="164"/>
    </row>
    <row r="180" spans="11:19" x14ac:dyDescent="0.2">
      <c r="K180" s="164"/>
      <c r="L180" s="164"/>
      <c r="M180" s="164"/>
      <c r="N180" s="164"/>
      <c r="O180" s="164"/>
      <c r="P180" s="164"/>
      <c r="Q180" s="164"/>
      <c r="R180" s="164"/>
      <c r="S180" s="164"/>
    </row>
    <row r="181" spans="11:19" x14ac:dyDescent="0.2">
      <c r="K181" s="164"/>
      <c r="L181" s="164"/>
      <c r="M181" s="164"/>
      <c r="N181" s="164"/>
      <c r="O181" s="164"/>
      <c r="P181" s="164"/>
      <c r="Q181" s="164"/>
      <c r="R181" s="164"/>
      <c r="S181" s="164"/>
    </row>
    <row r="182" spans="11:19" x14ac:dyDescent="0.2">
      <c r="K182" s="164"/>
      <c r="L182" s="164"/>
      <c r="M182" s="164"/>
      <c r="N182" s="164"/>
      <c r="O182" s="164"/>
      <c r="P182" s="164"/>
      <c r="Q182" s="164"/>
      <c r="R182" s="164"/>
      <c r="S182" s="164"/>
    </row>
    <row r="183" spans="11:19" x14ac:dyDescent="0.2">
      <c r="K183" s="164"/>
      <c r="L183" s="164"/>
      <c r="M183" s="164"/>
      <c r="N183" s="164"/>
      <c r="O183" s="164"/>
      <c r="P183" s="164"/>
      <c r="Q183" s="164"/>
      <c r="R183" s="164"/>
      <c r="S183" s="164"/>
    </row>
    <row r="184" spans="11:19" x14ac:dyDescent="0.2">
      <c r="K184" s="164"/>
      <c r="L184" s="164"/>
      <c r="M184" s="164"/>
      <c r="N184" s="164"/>
      <c r="O184" s="164"/>
      <c r="P184" s="164"/>
      <c r="Q184" s="164"/>
      <c r="R184" s="164"/>
      <c r="S184" s="164"/>
    </row>
    <row r="185" spans="11:19" x14ac:dyDescent="0.2">
      <c r="K185" s="164"/>
      <c r="L185" s="164"/>
      <c r="M185" s="164"/>
      <c r="N185" s="164"/>
      <c r="O185" s="164"/>
      <c r="P185" s="164"/>
      <c r="Q185" s="164"/>
      <c r="R185" s="164"/>
      <c r="S185" s="164"/>
    </row>
    <row r="186" spans="11:19" x14ac:dyDescent="0.2">
      <c r="K186" s="164"/>
      <c r="L186" s="164"/>
      <c r="M186" s="164"/>
      <c r="N186" s="164"/>
      <c r="O186" s="164"/>
      <c r="P186" s="164"/>
      <c r="Q186" s="164"/>
      <c r="R186" s="164"/>
      <c r="S186" s="164"/>
    </row>
    <row r="187" spans="11:19" x14ac:dyDescent="0.2">
      <c r="K187" s="164"/>
      <c r="L187" s="164"/>
      <c r="M187" s="164"/>
      <c r="N187" s="164"/>
      <c r="O187" s="164"/>
      <c r="P187" s="164"/>
      <c r="Q187" s="164"/>
      <c r="R187" s="164"/>
      <c r="S187" s="164"/>
    </row>
    <row r="188" spans="11:19" x14ac:dyDescent="0.2">
      <c r="K188" s="164"/>
      <c r="L188" s="164"/>
      <c r="M188" s="164"/>
      <c r="N188" s="164"/>
      <c r="O188" s="164"/>
      <c r="P188" s="164"/>
      <c r="Q188" s="164"/>
      <c r="R188" s="164"/>
      <c r="S188" s="164"/>
    </row>
    <row r="189" spans="11:19" x14ac:dyDescent="0.2">
      <c r="K189" s="164"/>
      <c r="L189" s="164"/>
      <c r="M189" s="164"/>
      <c r="N189" s="164"/>
      <c r="O189" s="164"/>
      <c r="P189" s="164"/>
      <c r="Q189" s="164"/>
      <c r="R189" s="164"/>
      <c r="S189" s="164"/>
    </row>
    <row r="190" spans="11:19" x14ac:dyDescent="0.2">
      <c r="K190" s="164"/>
      <c r="L190" s="164"/>
      <c r="M190" s="164"/>
      <c r="N190" s="164"/>
      <c r="O190" s="164"/>
      <c r="P190" s="164"/>
      <c r="Q190" s="164"/>
      <c r="R190" s="164"/>
      <c r="S190" s="164"/>
    </row>
    <row r="191" spans="11:19" x14ac:dyDescent="0.2">
      <c r="K191" s="164"/>
      <c r="L191" s="164"/>
      <c r="M191" s="164"/>
      <c r="N191" s="164"/>
      <c r="O191" s="164"/>
      <c r="P191" s="164"/>
      <c r="Q191" s="164"/>
      <c r="R191" s="164"/>
      <c r="S191" s="164"/>
    </row>
    <row r="192" spans="11:19" x14ac:dyDescent="0.2">
      <c r="K192" s="164"/>
      <c r="L192" s="164"/>
      <c r="M192" s="164"/>
      <c r="N192" s="164"/>
      <c r="O192" s="164"/>
      <c r="P192" s="164"/>
      <c r="Q192" s="164"/>
      <c r="R192" s="164"/>
      <c r="S192" s="164"/>
    </row>
    <row r="193" spans="11:19" x14ac:dyDescent="0.2">
      <c r="K193" s="164"/>
      <c r="L193" s="164"/>
      <c r="M193" s="164"/>
      <c r="N193" s="164"/>
      <c r="O193" s="164"/>
      <c r="P193" s="164"/>
      <c r="Q193" s="164"/>
      <c r="R193" s="164"/>
      <c r="S193" s="164"/>
    </row>
    <row r="194" spans="11:19" x14ac:dyDescent="0.2">
      <c r="K194" s="164"/>
      <c r="L194" s="164"/>
      <c r="M194" s="164"/>
      <c r="N194" s="164"/>
      <c r="O194" s="164"/>
      <c r="P194" s="164"/>
      <c r="Q194" s="164"/>
      <c r="R194" s="164"/>
      <c r="S194" s="164"/>
    </row>
    <row r="195" spans="11:19" x14ac:dyDescent="0.2">
      <c r="K195" s="164"/>
      <c r="L195" s="164"/>
      <c r="M195" s="164"/>
      <c r="N195" s="164"/>
      <c r="O195" s="164"/>
      <c r="P195" s="164"/>
      <c r="Q195" s="164"/>
      <c r="R195" s="164"/>
      <c r="S195" s="164"/>
    </row>
    <row r="196" spans="11:19" x14ac:dyDescent="0.2">
      <c r="K196" s="164"/>
      <c r="L196" s="164"/>
      <c r="M196" s="164"/>
      <c r="N196" s="164"/>
      <c r="O196" s="164"/>
      <c r="P196" s="164"/>
      <c r="Q196" s="164"/>
      <c r="R196" s="164"/>
      <c r="S196" s="164"/>
    </row>
    <row r="197" spans="11:19" x14ac:dyDescent="0.2">
      <c r="K197" s="164"/>
      <c r="L197" s="164"/>
      <c r="M197" s="164"/>
      <c r="N197" s="164"/>
      <c r="O197" s="164"/>
      <c r="P197" s="164"/>
      <c r="Q197" s="164"/>
      <c r="R197" s="164"/>
      <c r="S197" s="164"/>
    </row>
  </sheetData>
  <mergeCells count="18">
    <mergeCell ref="A1:S1"/>
    <mergeCell ref="T1:AL1"/>
    <mergeCell ref="A2:S2"/>
    <mergeCell ref="T2:AL2"/>
    <mergeCell ref="E4:S4"/>
    <mergeCell ref="X4:AL4"/>
    <mergeCell ref="AA5:AC5"/>
    <mergeCell ref="AD5:AF5"/>
    <mergeCell ref="AG5:AI5"/>
    <mergeCell ref="AJ5:AL5"/>
    <mergeCell ref="A29:C29"/>
    <mergeCell ref="T29:V29"/>
    <mergeCell ref="E5:G5"/>
    <mergeCell ref="H5:J5"/>
    <mergeCell ref="K5:M5"/>
    <mergeCell ref="N5:P5"/>
    <mergeCell ref="Q5:S5"/>
    <mergeCell ref="X5:Z5"/>
  </mergeCells>
  <printOptions horizontalCentered="1"/>
  <pageMargins left="0.75" right="0.75" top="1" bottom="1" header="0.5" footer="0.5"/>
  <pageSetup scale="72" fitToWidth="2" pageOrder="overThenDown" orientation="landscape" r:id="rId1"/>
  <headerFooter alignWithMargins="0"/>
  <colBreaks count="1" manualBreakCount="1">
    <brk id="19" max="34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5"/>
  <sheetViews>
    <sheetView view="pageBreakPreview" zoomScaleNormal="100" zoomScaleSheetLayoutView="100" workbookViewId="0">
      <selection activeCell="H5" sqref="H5"/>
    </sheetView>
  </sheetViews>
  <sheetFormatPr defaultRowHeight="12.75" x14ac:dyDescent="0.2"/>
  <cols>
    <col min="1" max="1" width="14.7109375" customWidth="1"/>
    <col min="2" max="4" width="12.7109375" customWidth="1"/>
    <col min="5" max="5" width="10.28515625" customWidth="1"/>
    <col min="6" max="6" width="14.7109375" customWidth="1"/>
    <col min="7" max="7" width="8.85546875" customWidth="1"/>
    <col min="8" max="8" width="11.7109375" customWidth="1"/>
    <col min="9" max="10" width="12.7109375" customWidth="1"/>
    <col min="11" max="11" width="12.42578125" customWidth="1"/>
    <col min="12" max="12" width="11.85546875" customWidth="1"/>
    <col min="13" max="13" width="11.140625" customWidth="1"/>
    <col min="14" max="14" width="11.42578125" customWidth="1"/>
    <col min="15" max="15" width="14.85546875" customWidth="1"/>
  </cols>
  <sheetData>
    <row r="1" spans="1:15" ht="18" x14ac:dyDescent="0.25">
      <c r="A1" s="983" t="s">
        <v>11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</row>
    <row r="2" spans="1:15" ht="15.75" x14ac:dyDescent="0.25">
      <c r="A2" s="945" t="s">
        <v>661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</row>
    <row r="3" spans="1:15" ht="18.75" x14ac:dyDescent="0.35">
      <c r="A3" s="945" t="s">
        <v>56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</row>
    <row r="4" spans="1:15" ht="15" x14ac:dyDescent="0.2">
      <c r="A4" s="990"/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</row>
    <row r="5" spans="1:15" s="124" customFormat="1" x14ac:dyDescent="0.2">
      <c r="A5" s="929" t="s">
        <v>611</v>
      </c>
      <c r="I5" s="125"/>
    </row>
    <row r="6" spans="1:15" ht="16.5" thickBot="1" x14ac:dyDescent="0.3">
      <c r="A6" s="991" t="s">
        <v>71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  <c r="M6" s="991"/>
      <c r="N6" s="991"/>
    </row>
    <row r="7" spans="1:15" ht="43.5" customHeight="1" thickTop="1" x14ac:dyDescent="0.2">
      <c r="A7" s="43"/>
      <c r="B7" s="989" t="s">
        <v>28</v>
      </c>
      <c r="C7" s="989"/>
      <c r="D7" s="989"/>
      <c r="E7" s="42" t="s">
        <v>27</v>
      </c>
      <c r="F7" s="41" t="s">
        <v>26</v>
      </c>
      <c r="G7" s="101" t="s">
        <v>89</v>
      </c>
      <c r="H7" s="41" t="s">
        <v>88</v>
      </c>
      <c r="I7" s="1022" t="s">
        <v>25</v>
      </c>
      <c r="J7" s="1023"/>
      <c r="K7" s="99" t="s">
        <v>327</v>
      </c>
      <c r="L7" s="98" t="s">
        <v>87</v>
      </c>
      <c r="M7" s="993" t="s">
        <v>25</v>
      </c>
      <c r="N7" s="1021"/>
      <c r="O7" s="440" t="s">
        <v>324</v>
      </c>
    </row>
    <row r="8" spans="1:15" ht="13.5" thickBot="1" x14ac:dyDescent="0.25">
      <c r="A8" s="40" t="s">
        <v>10</v>
      </c>
      <c r="B8" s="39" t="s">
        <v>24</v>
      </c>
      <c r="C8" s="39" t="s">
        <v>23</v>
      </c>
      <c r="D8" s="39" t="s">
        <v>0</v>
      </c>
      <c r="E8" s="39" t="s">
        <v>12</v>
      </c>
      <c r="F8" s="39" t="s">
        <v>12</v>
      </c>
      <c r="G8" s="7" t="s">
        <v>86</v>
      </c>
      <c r="H8" s="7" t="s">
        <v>85</v>
      </c>
      <c r="I8" s="7" t="s">
        <v>12</v>
      </c>
      <c r="J8" s="97" t="s">
        <v>4</v>
      </c>
      <c r="K8" s="6" t="s">
        <v>22</v>
      </c>
      <c r="L8" s="96" t="s">
        <v>22</v>
      </c>
      <c r="M8" s="38" t="s">
        <v>12</v>
      </c>
      <c r="N8" s="96" t="s">
        <v>4</v>
      </c>
      <c r="O8" s="37" t="s">
        <v>4</v>
      </c>
    </row>
    <row r="9" spans="1:15" ht="15" thickTop="1" x14ac:dyDescent="0.2">
      <c r="A9" s="36" t="s">
        <v>84</v>
      </c>
      <c r="B9" s="35" t="s">
        <v>3</v>
      </c>
      <c r="C9" s="35" t="s">
        <v>3</v>
      </c>
      <c r="D9" s="738">
        <v>0.73</v>
      </c>
      <c r="E9" s="1013">
        <v>2000</v>
      </c>
      <c r="F9" s="5">
        <f>($E$9/2000)*D9</f>
        <v>0.73</v>
      </c>
      <c r="G9" s="1018">
        <v>240</v>
      </c>
      <c r="H9" s="1018">
        <v>2E-3</v>
      </c>
      <c r="I9" s="95">
        <f>(H9/7000)*G9*60</f>
        <v>4.1142857142857144E-3</v>
      </c>
      <c r="J9" s="94">
        <f>I9*4.38</f>
        <v>1.8020571428571427E-2</v>
      </c>
      <c r="K9" s="93">
        <f>(F9-I9)/F9</f>
        <v>0.99436399217221128</v>
      </c>
      <c r="L9" s="444">
        <v>0.99</v>
      </c>
      <c r="M9" s="91">
        <f>F9*(1-L9)</f>
        <v>7.3000000000000061E-3</v>
      </c>
      <c r="N9" s="437">
        <f>M9*4.38</f>
        <v>3.1974000000000023E-2</v>
      </c>
      <c r="O9" s="770">
        <f>F9*4.38</f>
        <v>3.1974</v>
      </c>
    </row>
    <row r="10" spans="1:15" ht="15" x14ac:dyDescent="0.25">
      <c r="A10" s="31" t="s">
        <v>83</v>
      </c>
      <c r="B10" s="30" t="s">
        <v>3</v>
      </c>
      <c r="C10" s="30" t="s">
        <v>3</v>
      </c>
      <c r="D10" s="739">
        <v>0.47</v>
      </c>
      <c r="E10" s="1014"/>
      <c r="F10" s="4">
        <f>($E$9/2000)*D10</f>
        <v>0.47</v>
      </c>
      <c r="G10" s="1019"/>
      <c r="H10" s="1019"/>
      <c r="I10" s="90">
        <f>(H9/7000)*G9*60</f>
        <v>4.1142857142857144E-3</v>
      </c>
      <c r="J10" s="89">
        <f>I10*4.38</f>
        <v>1.8020571428571427E-2</v>
      </c>
      <c r="K10" s="88">
        <f>(F10-I10)/F10</f>
        <v>0.99124620060790269</v>
      </c>
      <c r="L10" s="87">
        <v>0.99</v>
      </c>
      <c r="M10" s="91">
        <f>F10*(1-L10)</f>
        <v>4.7000000000000037E-3</v>
      </c>
      <c r="N10" s="438">
        <f>M10*4.38</f>
        <v>2.0586000000000014E-2</v>
      </c>
      <c r="O10" s="774">
        <f>F10*4.38</f>
        <v>2.0585999999999998</v>
      </c>
    </row>
    <row r="11" spans="1:15" ht="15.75" thickBot="1" x14ac:dyDescent="0.3">
      <c r="A11" s="26" t="s">
        <v>82</v>
      </c>
      <c r="B11" s="25" t="s">
        <v>3</v>
      </c>
      <c r="C11" s="25" t="s">
        <v>3</v>
      </c>
      <c r="D11" s="740">
        <v>0.47</v>
      </c>
      <c r="E11" s="1015"/>
      <c r="F11" s="24">
        <f>($E$9/2000)*D11</f>
        <v>0.47</v>
      </c>
      <c r="G11" s="1020"/>
      <c r="H11" s="1020"/>
      <c r="I11" s="86">
        <f>(H9/7000)*G9*60</f>
        <v>4.1142857142857144E-3</v>
      </c>
      <c r="J11" s="85">
        <f>I11*4.38</f>
        <v>1.8020571428571427E-2</v>
      </c>
      <c r="K11" s="84">
        <f>(F11-I11)/F11</f>
        <v>0.99124620060790269</v>
      </c>
      <c r="L11" s="83">
        <v>0.99</v>
      </c>
      <c r="M11" s="82">
        <f>F11*(1-L11)</f>
        <v>4.7000000000000037E-3</v>
      </c>
      <c r="N11" s="439">
        <f>M11*4.38</f>
        <v>2.0586000000000014E-2</v>
      </c>
      <c r="O11" s="775">
        <f>F11*4.38</f>
        <v>2.0585999999999998</v>
      </c>
    </row>
    <row r="12" spans="1:15" ht="14.25" thickTop="1" x14ac:dyDescent="0.2">
      <c r="A12" s="81" t="s">
        <v>81</v>
      </c>
      <c r="B12" s="80"/>
      <c r="C12" s="80"/>
      <c r="D12" s="79"/>
      <c r="E12" s="78"/>
      <c r="F12" s="79"/>
      <c r="G12" s="78"/>
      <c r="H12" s="78"/>
      <c r="I12" s="77"/>
      <c r="J12" s="77"/>
      <c r="K12" s="76"/>
      <c r="L12" s="136"/>
      <c r="M12" s="77"/>
      <c r="N12" s="77"/>
    </row>
    <row r="13" spans="1:15" ht="13.5" x14ac:dyDescent="0.2">
      <c r="A13" s="20" t="s">
        <v>80</v>
      </c>
    </row>
    <row r="14" spans="1:15" ht="14.25" x14ac:dyDescent="0.25">
      <c r="A14" s="20" t="s">
        <v>79</v>
      </c>
    </row>
    <row r="15" spans="1:15" ht="14.25" x14ac:dyDescent="0.25">
      <c r="A15" s="20" t="s">
        <v>78</v>
      </c>
    </row>
  </sheetData>
  <mergeCells count="11">
    <mergeCell ref="A1:N1"/>
    <mergeCell ref="A2:N2"/>
    <mergeCell ref="A3:N3"/>
    <mergeCell ref="A4:N4"/>
    <mergeCell ref="A6:N6"/>
    <mergeCell ref="E9:E11"/>
    <mergeCell ref="G9:G11"/>
    <mergeCell ref="H9:H11"/>
    <mergeCell ref="M7:N7"/>
    <mergeCell ref="B7:D7"/>
    <mergeCell ref="I7:J7"/>
  </mergeCells>
  <printOptions horizontalCentered="1"/>
  <pageMargins left="0.75" right="0.75" top="1" bottom="1" header="0.5" footer="0.5"/>
  <pageSetup scale="65" orientation="landscape" horizontalDpi="4294967293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26"/>
  <sheetViews>
    <sheetView view="pageBreakPreview" zoomScale="80" zoomScaleNormal="100" zoomScaleSheetLayoutView="80" workbookViewId="0">
      <selection activeCell="A17" sqref="A17:N17"/>
    </sheetView>
  </sheetViews>
  <sheetFormatPr defaultRowHeight="12.75" x14ac:dyDescent="0.2"/>
  <cols>
    <col min="1" max="1" width="14.7109375" customWidth="1"/>
    <col min="2" max="4" width="12.7109375" customWidth="1"/>
    <col min="5" max="5" width="10.28515625" customWidth="1"/>
    <col min="6" max="6" width="14.7109375" customWidth="1"/>
    <col min="7" max="7" width="8.85546875" customWidth="1"/>
    <col min="8" max="8" width="11.7109375" customWidth="1"/>
    <col min="9" max="10" width="12.7109375" customWidth="1"/>
    <col min="11" max="11" width="10.85546875" customWidth="1"/>
    <col min="12" max="12" width="13.5703125" customWidth="1"/>
    <col min="13" max="13" width="11.140625" customWidth="1"/>
    <col min="14" max="14" width="11.42578125" customWidth="1"/>
    <col min="15" max="15" width="15.5703125" customWidth="1"/>
    <col min="16" max="16" width="9.28515625" customWidth="1"/>
  </cols>
  <sheetData>
    <row r="1" spans="1:15" ht="18" x14ac:dyDescent="0.25">
      <c r="A1" s="983" t="s">
        <v>11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</row>
    <row r="2" spans="1:15" ht="15.75" x14ac:dyDescent="0.25">
      <c r="A2" s="945" t="s">
        <v>662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</row>
    <row r="3" spans="1:15" ht="18.75" x14ac:dyDescent="0.35">
      <c r="A3" s="945" t="s">
        <v>56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</row>
    <row r="4" spans="1:15" ht="15" x14ac:dyDescent="0.2">
      <c r="A4" s="990"/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</row>
    <row r="5" spans="1:15" s="124" customFormat="1" x14ac:dyDescent="0.2">
      <c r="A5" s="929" t="s">
        <v>611</v>
      </c>
      <c r="I5" s="125"/>
    </row>
    <row r="6" spans="1:15" ht="16.5" thickBot="1" x14ac:dyDescent="0.3">
      <c r="A6" s="991" t="s">
        <v>663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  <c r="M6" s="991"/>
      <c r="N6" s="991"/>
    </row>
    <row r="7" spans="1:15" ht="51.75" thickTop="1" x14ac:dyDescent="0.2">
      <c r="A7" s="114"/>
      <c r="B7" s="933" t="s">
        <v>28</v>
      </c>
      <c r="C7" s="933"/>
      <c r="D7" s="933"/>
      <c r="E7" s="113" t="s">
        <v>27</v>
      </c>
      <c r="F7" s="112" t="s">
        <v>26</v>
      </c>
      <c r="G7" s="100" t="s">
        <v>89</v>
      </c>
      <c r="H7" s="41" t="s">
        <v>88</v>
      </c>
      <c r="I7" s="1022" t="s">
        <v>25</v>
      </c>
      <c r="J7" s="1023"/>
      <c r="K7" s="99" t="s">
        <v>327</v>
      </c>
      <c r="L7" s="98" t="s">
        <v>87</v>
      </c>
      <c r="M7" s="993" t="s">
        <v>25</v>
      </c>
      <c r="N7" s="1021"/>
      <c r="O7" s="440" t="s">
        <v>324</v>
      </c>
    </row>
    <row r="8" spans="1:15" ht="13.5" thickBot="1" x14ac:dyDescent="0.25">
      <c r="A8" s="111" t="s">
        <v>10</v>
      </c>
      <c r="B8" s="7" t="s">
        <v>24</v>
      </c>
      <c r="C8" s="7" t="s">
        <v>23</v>
      </c>
      <c r="D8" s="7" t="s">
        <v>0</v>
      </c>
      <c r="E8" s="7" t="s">
        <v>12</v>
      </c>
      <c r="F8" s="7" t="s">
        <v>12</v>
      </c>
      <c r="G8" s="7" t="s">
        <v>86</v>
      </c>
      <c r="H8" s="7" t="s">
        <v>85</v>
      </c>
      <c r="I8" s="7" t="s">
        <v>12</v>
      </c>
      <c r="J8" s="97" t="s">
        <v>4</v>
      </c>
      <c r="K8" s="6" t="s">
        <v>22</v>
      </c>
      <c r="L8" s="96" t="s">
        <v>22</v>
      </c>
      <c r="M8" s="38" t="s">
        <v>12</v>
      </c>
      <c r="N8" s="96" t="s">
        <v>4</v>
      </c>
      <c r="O8" s="37" t="s">
        <v>4</v>
      </c>
    </row>
    <row r="9" spans="1:15" ht="15" thickTop="1" x14ac:dyDescent="0.2">
      <c r="A9" s="36" t="s">
        <v>84</v>
      </c>
      <c r="B9" s="110" t="s">
        <v>3</v>
      </c>
      <c r="C9" s="110" t="s">
        <v>3</v>
      </c>
      <c r="D9" s="741">
        <v>0.73</v>
      </c>
      <c r="E9" s="1024">
        <v>20000</v>
      </c>
      <c r="F9" s="109">
        <f>($E$9/2000)*D9</f>
        <v>7.3</v>
      </c>
      <c r="G9" s="1027">
        <v>566</v>
      </c>
      <c r="H9" s="1027">
        <v>2E-3</v>
      </c>
      <c r="I9" s="95">
        <f>(H9/7000)*G9*60</f>
        <v>9.7028571428571415E-3</v>
      </c>
      <c r="J9" s="94">
        <f>I9*4.38</f>
        <v>4.249851428571428E-2</v>
      </c>
      <c r="K9" s="93">
        <f>(F9-I9)/F9</f>
        <v>0.99867084148727991</v>
      </c>
      <c r="L9" s="92">
        <v>0.99</v>
      </c>
      <c r="M9" s="33">
        <f>F9*(1-L9)</f>
        <v>7.3000000000000065E-2</v>
      </c>
      <c r="N9" s="437">
        <f>M9*4.38</f>
        <v>0.3197400000000003</v>
      </c>
      <c r="O9" s="770">
        <f>F9*4.38</f>
        <v>31.974</v>
      </c>
    </row>
    <row r="10" spans="1:15" ht="15" x14ac:dyDescent="0.25">
      <c r="A10" s="31" t="s">
        <v>83</v>
      </c>
      <c r="B10" s="108" t="s">
        <v>3</v>
      </c>
      <c r="C10" s="108" t="s">
        <v>3</v>
      </c>
      <c r="D10" s="742">
        <v>0.47</v>
      </c>
      <c r="E10" s="1025"/>
      <c r="F10" s="107">
        <f>($E$9/2000)*D10</f>
        <v>4.6999999999999993</v>
      </c>
      <c r="G10" s="1028"/>
      <c r="H10" s="1028"/>
      <c r="I10" s="90">
        <f>(H9/7000)*G9*60</f>
        <v>9.7028571428571415E-3</v>
      </c>
      <c r="J10" s="89">
        <f>I10*4.38</f>
        <v>4.249851428571428E-2</v>
      </c>
      <c r="K10" s="88">
        <f>(F10-I10)/F10</f>
        <v>0.99793556231003044</v>
      </c>
      <c r="L10" s="87">
        <v>0.99</v>
      </c>
      <c r="M10" s="33">
        <f>F10*(1-L10)</f>
        <v>4.7000000000000035E-2</v>
      </c>
      <c r="N10" s="772">
        <f>M10*4.38</f>
        <v>0.20586000000000015</v>
      </c>
      <c r="O10" s="774">
        <f>F10*4.38</f>
        <v>20.585999999999995</v>
      </c>
    </row>
    <row r="11" spans="1:15" ht="15.75" thickBot="1" x14ac:dyDescent="0.3">
      <c r="A11" s="26" t="s">
        <v>82</v>
      </c>
      <c r="B11" s="106" t="s">
        <v>3</v>
      </c>
      <c r="C11" s="106" t="s">
        <v>3</v>
      </c>
      <c r="D11" s="743">
        <v>0.47</v>
      </c>
      <c r="E11" s="1026"/>
      <c r="F11" s="105">
        <f>($E$9/2000)*D11</f>
        <v>4.6999999999999993</v>
      </c>
      <c r="G11" s="1029"/>
      <c r="H11" s="1029"/>
      <c r="I11" s="86">
        <f>(H9/7000)*G9*60</f>
        <v>9.7028571428571415E-3</v>
      </c>
      <c r="J11" s="85">
        <f>I11*4.38</f>
        <v>4.249851428571428E-2</v>
      </c>
      <c r="K11" s="84">
        <f>(F11-I11)/F11</f>
        <v>0.99793556231003044</v>
      </c>
      <c r="L11" s="83">
        <v>0.99</v>
      </c>
      <c r="M11" s="22">
        <f>F11*(1-L11)</f>
        <v>4.7000000000000035E-2</v>
      </c>
      <c r="N11" s="773">
        <f>M11*4.38</f>
        <v>0.20586000000000015</v>
      </c>
      <c r="O11" s="775">
        <f>F11*4.38</f>
        <v>20.585999999999995</v>
      </c>
    </row>
    <row r="12" spans="1:15" ht="14.25" thickTop="1" x14ac:dyDescent="0.2">
      <c r="A12" s="81" t="s">
        <v>81</v>
      </c>
      <c r="B12" s="104"/>
      <c r="C12" s="104"/>
      <c r="D12" s="103"/>
      <c r="E12" s="102"/>
      <c r="F12" s="103"/>
      <c r="G12" s="102"/>
      <c r="H12" s="102"/>
      <c r="I12" s="77"/>
      <c r="J12" s="77"/>
      <c r="K12" s="76"/>
      <c r="L12" s="136"/>
      <c r="M12" s="77"/>
      <c r="N12" s="77"/>
    </row>
    <row r="13" spans="1:15" ht="13.5" x14ac:dyDescent="0.2">
      <c r="A13" s="20" t="s">
        <v>80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</row>
    <row r="14" spans="1:15" ht="14.25" x14ac:dyDescent="0.25">
      <c r="A14" s="20" t="s">
        <v>79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5" ht="14.25" x14ac:dyDescent="0.25">
      <c r="A15" s="20" t="s">
        <v>78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</row>
    <row r="16" spans="1:15" x14ac:dyDescent="0.2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5" ht="16.5" thickBot="1" x14ac:dyDescent="0.3">
      <c r="A17" s="1030" t="s">
        <v>664</v>
      </c>
      <c r="B17" s="1030"/>
      <c r="C17" s="1030"/>
      <c r="D17" s="1030"/>
      <c r="E17" s="1030"/>
      <c r="F17" s="1030"/>
      <c r="G17" s="1030"/>
      <c r="H17" s="1030"/>
      <c r="I17" s="1030"/>
      <c r="J17" s="1030"/>
      <c r="K17" s="1030"/>
      <c r="L17" s="1030"/>
      <c r="M17" s="1030"/>
      <c r="N17" s="1030"/>
    </row>
    <row r="18" spans="1:15" ht="51.75" thickTop="1" x14ac:dyDescent="0.2">
      <c r="A18" s="114"/>
      <c r="B18" s="933" t="s">
        <v>28</v>
      </c>
      <c r="C18" s="933"/>
      <c r="D18" s="933"/>
      <c r="E18" s="113" t="s">
        <v>27</v>
      </c>
      <c r="F18" s="112" t="s">
        <v>26</v>
      </c>
      <c r="G18" s="100" t="s">
        <v>89</v>
      </c>
      <c r="H18" s="41" t="s">
        <v>88</v>
      </c>
      <c r="I18" s="1022" t="s">
        <v>25</v>
      </c>
      <c r="J18" s="1023"/>
      <c r="K18" s="99" t="s">
        <v>327</v>
      </c>
      <c r="L18" s="98" t="s">
        <v>87</v>
      </c>
      <c r="M18" s="993" t="s">
        <v>25</v>
      </c>
      <c r="N18" s="1021"/>
      <c r="O18" s="440" t="s">
        <v>324</v>
      </c>
    </row>
    <row r="19" spans="1:15" ht="13.5" thickBot="1" x14ac:dyDescent="0.25">
      <c r="A19" s="111" t="s">
        <v>10</v>
      </c>
      <c r="B19" s="7" t="s">
        <v>24</v>
      </c>
      <c r="C19" s="7" t="s">
        <v>23</v>
      </c>
      <c r="D19" s="7" t="s">
        <v>0</v>
      </c>
      <c r="E19" s="7" t="s">
        <v>12</v>
      </c>
      <c r="F19" s="7" t="s">
        <v>12</v>
      </c>
      <c r="G19" s="7" t="s">
        <v>86</v>
      </c>
      <c r="H19" s="7" t="s">
        <v>85</v>
      </c>
      <c r="I19" s="7" t="s">
        <v>12</v>
      </c>
      <c r="J19" s="97" t="s">
        <v>4</v>
      </c>
      <c r="K19" s="6" t="s">
        <v>22</v>
      </c>
      <c r="L19" s="96" t="s">
        <v>22</v>
      </c>
      <c r="M19" s="38" t="s">
        <v>12</v>
      </c>
      <c r="N19" s="96" t="s">
        <v>4</v>
      </c>
      <c r="O19" s="37" t="s">
        <v>4</v>
      </c>
    </row>
    <row r="20" spans="1:15" ht="15" thickTop="1" x14ac:dyDescent="0.2">
      <c r="A20" s="36" t="s">
        <v>84</v>
      </c>
      <c r="B20" s="110" t="s">
        <v>3</v>
      </c>
      <c r="C20" s="110" t="s">
        <v>3</v>
      </c>
      <c r="D20" s="741">
        <v>0.73</v>
      </c>
      <c r="E20" s="1024">
        <v>20000</v>
      </c>
      <c r="F20" s="109">
        <f>($E$20/2000)*D20</f>
        <v>7.3</v>
      </c>
      <c r="G20" s="1027">
        <v>566</v>
      </c>
      <c r="H20" s="1027">
        <v>2E-3</v>
      </c>
      <c r="I20" s="95">
        <f>(H20/7000)*G20*60</f>
        <v>9.7028571428571415E-3</v>
      </c>
      <c r="J20" s="94">
        <f>I20*4.38</f>
        <v>4.249851428571428E-2</v>
      </c>
      <c r="K20" s="93">
        <f>(F20-I20)/F20</f>
        <v>0.99867084148727991</v>
      </c>
      <c r="L20" s="92">
        <v>0.99</v>
      </c>
      <c r="M20" s="33">
        <f>F20*(1-L20)</f>
        <v>7.3000000000000065E-2</v>
      </c>
      <c r="N20" s="437">
        <f>M20*4.38</f>
        <v>0.3197400000000003</v>
      </c>
      <c r="O20" s="770">
        <f>F20*4.38</f>
        <v>31.974</v>
      </c>
    </row>
    <row r="21" spans="1:15" ht="15" x14ac:dyDescent="0.25">
      <c r="A21" s="31" t="s">
        <v>83</v>
      </c>
      <c r="B21" s="108" t="s">
        <v>3</v>
      </c>
      <c r="C21" s="108" t="s">
        <v>3</v>
      </c>
      <c r="D21" s="742">
        <v>0.47</v>
      </c>
      <c r="E21" s="1025"/>
      <c r="F21" s="107">
        <f>($E$20/2000)*D21</f>
        <v>4.6999999999999993</v>
      </c>
      <c r="G21" s="1028"/>
      <c r="H21" s="1028"/>
      <c r="I21" s="90">
        <f>(H20/7000)*G20*60</f>
        <v>9.7028571428571415E-3</v>
      </c>
      <c r="J21" s="89">
        <f>I21*4.38</f>
        <v>4.249851428571428E-2</v>
      </c>
      <c r="K21" s="88">
        <f>(F21-I21)/F21</f>
        <v>0.99793556231003044</v>
      </c>
      <c r="L21" s="87">
        <v>0.99</v>
      </c>
      <c r="M21" s="33">
        <f>F21*(1-L21)</f>
        <v>4.7000000000000035E-2</v>
      </c>
      <c r="N21" s="772">
        <f>M21*4.38</f>
        <v>0.20586000000000015</v>
      </c>
      <c r="O21" s="774">
        <f>F21*4.38</f>
        <v>20.585999999999995</v>
      </c>
    </row>
    <row r="22" spans="1:15" ht="15.75" thickBot="1" x14ac:dyDescent="0.3">
      <c r="A22" s="26" t="s">
        <v>82</v>
      </c>
      <c r="B22" s="106" t="s">
        <v>3</v>
      </c>
      <c r="C22" s="106" t="s">
        <v>3</v>
      </c>
      <c r="D22" s="743">
        <v>0.47</v>
      </c>
      <c r="E22" s="1026"/>
      <c r="F22" s="105">
        <f>($E$20/2000)*D22</f>
        <v>4.6999999999999993</v>
      </c>
      <c r="G22" s="1029"/>
      <c r="H22" s="1029"/>
      <c r="I22" s="86">
        <f>(H20/7000)*G20*60</f>
        <v>9.7028571428571415E-3</v>
      </c>
      <c r="J22" s="85">
        <f>I22*4.38</f>
        <v>4.249851428571428E-2</v>
      </c>
      <c r="K22" s="84">
        <f>(F22-I22)/F22</f>
        <v>0.99793556231003044</v>
      </c>
      <c r="L22" s="83">
        <v>0.99</v>
      </c>
      <c r="M22" s="22">
        <f>F22*(1-L22)</f>
        <v>4.7000000000000035E-2</v>
      </c>
      <c r="N22" s="773">
        <f>M22*4.38</f>
        <v>0.20586000000000015</v>
      </c>
      <c r="O22" s="775">
        <f>F22*4.38</f>
        <v>20.585999999999995</v>
      </c>
    </row>
    <row r="23" spans="1:15" ht="14.25" thickTop="1" x14ac:dyDescent="0.2">
      <c r="A23" s="81" t="s">
        <v>81</v>
      </c>
      <c r="B23" s="104"/>
      <c r="C23" s="104"/>
      <c r="D23" s="103"/>
      <c r="E23" s="102"/>
      <c r="F23" s="103"/>
      <c r="G23" s="102"/>
      <c r="H23" s="102"/>
      <c r="I23" s="77"/>
      <c r="J23" s="77"/>
      <c r="K23" s="76"/>
      <c r="L23" s="136"/>
      <c r="M23" s="77"/>
      <c r="N23" s="77"/>
    </row>
    <row r="24" spans="1:15" ht="13.5" x14ac:dyDescent="0.2">
      <c r="A24" s="20" t="s">
        <v>80</v>
      </c>
    </row>
    <row r="25" spans="1:15" ht="14.25" x14ac:dyDescent="0.25">
      <c r="A25" s="20" t="s">
        <v>79</v>
      </c>
    </row>
    <row r="26" spans="1:15" ht="14.25" x14ac:dyDescent="0.25">
      <c r="A26" s="20" t="s">
        <v>78</v>
      </c>
    </row>
  </sheetData>
  <mergeCells count="18">
    <mergeCell ref="A1:N1"/>
    <mergeCell ref="A2:N2"/>
    <mergeCell ref="A3:N3"/>
    <mergeCell ref="A4:N4"/>
    <mergeCell ref="M7:N7"/>
    <mergeCell ref="A6:N6"/>
    <mergeCell ref="E20:E22"/>
    <mergeCell ref="G20:G22"/>
    <mergeCell ref="H20:H22"/>
    <mergeCell ref="B7:D7"/>
    <mergeCell ref="E9:E11"/>
    <mergeCell ref="G9:G11"/>
    <mergeCell ref="H9:H11"/>
    <mergeCell ref="A17:N17"/>
    <mergeCell ref="B18:D18"/>
    <mergeCell ref="I18:J18"/>
    <mergeCell ref="I7:J7"/>
    <mergeCell ref="M18:N18"/>
  </mergeCells>
  <printOptions horizontalCentered="1"/>
  <pageMargins left="0.75" right="0.75" top="1" bottom="1" header="0.5" footer="0.5"/>
  <pageSetup scale="65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view="pageBreakPreview" zoomScale="80" zoomScaleNormal="100" zoomScaleSheetLayoutView="80" workbookViewId="0">
      <selection activeCell="A28" sqref="A28:I28"/>
    </sheetView>
  </sheetViews>
  <sheetFormatPr defaultRowHeight="12.75" x14ac:dyDescent="0.2"/>
  <cols>
    <col min="1" max="9" width="14.7109375" customWidth="1"/>
    <col min="10" max="10" width="14.5703125" customWidth="1"/>
    <col min="12" max="12" width="10" bestFit="1" customWidth="1"/>
  </cols>
  <sheetData>
    <row r="1" spans="1:10" ht="18" x14ac:dyDescent="0.25">
      <c r="A1" s="983" t="s">
        <v>11</v>
      </c>
      <c r="B1" s="983"/>
      <c r="C1" s="983"/>
      <c r="D1" s="983"/>
      <c r="E1" s="983"/>
      <c r="F1" s="983"/>
      <c r="G1" s="983"/>
      <c r="H1" s="983"/>
      <c r="I1" s="983"/>
    </row>
    <row r="2" spans="1:10" ht="15.75" x14ac:dyDescent="0.25">
      <c r="A2" s="945" t="s">
        <v>665</v>
      </c>
      <c r="B2" s="945"/>
      <c r="C2" s="945"/>
      <c r="D2" s="945"/>
      <c r="E2" s="945"/>
      <c r="F2" s="945"/>
      <c r="G2" s="945"/>
      <c r="H2" s="945"/>
      <c r="I2" s="945"/>
    </row>
    <row r="3" spans="1:10" ht="18.75" x14ac:dyDescent="0.35">
      <c r="A3" s="945" t="s">
        <v>56</v>
      </c>
      <c r="B3" s="945"/>
      <c r="C3" s="945"/>
      <c r="D3" s="945"/>
      <c r="E3" s="945"/>
      <c r="F3" s="945"/>
      <c r="G3" s="945"/>
      <c r="H3" s="945"/>
      <c r="I3" s="945"/>
    </row>
    <row r="4" spans="1:10" ht="15" x14ac:dyDescent="0.2">
      <c r="A4" s="990"/>
      <c r="B4" s="990"/>
      <c r="C4" s="990"/>
      <c r="D4" s="990"/>
      <c r="E4" s="990"/>
      <c r="F4" s="990"/>
      <c r="G4" s="990"/>
      <c r="H4" s="990"/>
      <c r="I4" s="990"/>
    </row>
    <row r="6" spans="1:10" ht="16.5" thickBot="1" x14ac:dyDescent="0.3">
      <c r="A6" s="991" t="s">
        <v>666</v>
      </c>
      <c r="B6" s="991"/>
      <c r="C6" s="991"/>
      <c r="D6" s="991"/>
      <c r="E6" s="991"/>
      <c r="F6" s="991"/>
      <c r="G6" s="991"/>
      <c r="H6" s="991"/>
      <c r="I6" s="991"/>
    </row>
    <row r="7" spans="1:10" ht="51.75" thickTop="1" x14ac:dyDescent="0.2">
      <c r="A7" s="43"/>
      <c r="B7" s="989" t="s">
        <v>28</v>
      </c>
      <c r="C7" s="989"/>
      <c r="D7" s="989"/>
      <c r="E7" s="42" t="s">
        <v>27</v>
      </c>
      <c r="F7" s="41" t="s">
        <v>26</v>
      </c>
      <c r="G7" s="41" t="s">
        <v>328</v>
      </c>
      <c r="H7" s="1011" t="s">
        <v>25</v>
      </c>
      <c r="I7" s="1012"/>
      <c r="J7" s="440" t="s">
        <v>324</v>
      </c>
    </row>
    <row r="8" spans="1:10" ht="13.5" thickBot="1" x14ac:dyDescent="0.25">
      <c r="A8" s="40" t="s">
        <v>10</v>
      </c>
      <c r="B8" s="39" t="s">
        <v>24</v>
      </c>
      <c r="C8" s="39" t="s">
        <v>23</v>
      </c>
      <c r="D8" s="39" t="s">
        <v>0</v>
      </c>
      <c r="E8" s="39" t="s">
        <v>12</v>
      </c>
      <c r="F8" s="39" t="s">
        <v>12</v>
      </c>
      <c r="G8" s="39" t="s">
        <v>22</v>
      </c>
      <c r="H8" s="38" t="s">
        <v>12</v>
      </c>
      <c r="I8" s="96" t="s">
        <v>4</v>
      </c>
      <c r="J8" s="37" t="s">
        <v>4</v>
      </c>
    </row>
    <row r="9" spans="1:10" ht="15" thickTop="1" x14ac:dyDescent="0.2">
      <c r="A9" s="36" t="s">
        <v>21</v>
      </c>
      <c r="B9" s="5">
        <f>0.067/0.2</f>
        <v>0.33500000000000002</v>
      </c>
      <c r="C9" s="35" t="s">
        <v>3</v>
      </c>
      <c r="D9" s="5">
        <f>B9</f>
        <v>0.33500000000000002</v>
      </c>
      <c r="E9" s="1013">
        <v>20000</v>
      </c>
      <c r="F9" s="5">
        <f>($E$9/2000)*D9</f>
        <v>3.35</v>
      </c>
      <c r="G9" s="34">
        <v>90</v>
      </c>
      <c r="H9" s="33">
        <f>F9*((100-G9)/100)</f>
        <v>0.33500000000000002</v>
      </c>
      <c r="I9" s="437">
        <f>H9*4.38</f>
        <v>1.4673</v>
      </c>
      <c r="J9" s="32">
        <f>F9*4.38</f>
        <v>14.673</v>
      </c>
    </row>
    <row r="10" spans="1:10" ht="15" x14ac:dyDescent="0.25">
      <c r="A10" s="31" t="s">
        <v>20</v>
      </c>
      <c r="B10" s="4">
        <f>0.85*B9</f>
        <v>0.28475</v>
      </c>
      <c r="C10" s="30" t="s">
        <v>3</v>
      </c>
      <c r="D10" s="4">
        <f>B10</f>
        <v>0.28475</v>
      </c>
      <c r="E10" s="1014"/>
      <c r="F10" s="4">
        <f>($E$9/2000)*D10</f>
        <v>2.8475000000000001</v>
      </c>
      <c r="G10" s="29">
        <v>90</v>
      </c>
      <c r="H10" s="28">
        <f>F10*((100-G10)/100)</f>
        <v>0.28475</v>
      </c>
      <c r="I10" s="438">
        <f>H10*4.38</f>
        <v>1.2472049999999999</v>
      </c>
      <c r="J10" s="27">
        <f>F10*4.38</f>
        <v>12.472050000000001</v>
      </c>
    </row>
    <row r="11" spans="1:10" ht="15.75" thickBot="1" x14ac:dyDescent="0.3">
      <c r="A11" s="26" t="s">
        <v>19</v>
      </c>
      <c r="B11" s="24">
        <f>B9*0.3</f>
        <v>0.10050000000000001</v>
      </c>
      <c r="C11" s="25" t="s">
        <v>3</v>
      </c>
      <c r="D11" s="24">
        <f>B11</f>
        <v>0.10050000000000001</v>
      </c>
      <c r="E11" s="1015"/>
      <c r="F11" s="24">
        <f>($E$9/2000)*D11</f>
        <v>1.0050000000000001</v>
      </c>
      <c r="G11" s="23">
        <v>90</v>
      </c>
      <c r="H11" s="22">
        <f>F11*((100-G11)/100)</f>
        <v>0.10050000000000002</v>
      </c>
      <c r="I11" s="439">
        <f>H11*4.38</f>
        <v>0.44019000000000008</v>
      </c>
      <c r="J11" s="21">
        <f>F11*4.38</f>
        <v>4.4019000000000004</v>
      </c>
    </row>
    <row r="12" spans="1:10" ht="14.25" thickTop="1" x14ac:dyDescent="0.2">
      <c r="A12" s="20" t="s">
        <v>18</v>
      </c>
      <c r="B12" s="1"/>
      <c r="C12" s="1"/>
      <c r="D12" s="1"/>
      <c r="E12" s="1"/>
      <c r="F12" s="1"/>
      <c r="G12" s="1"/>
      <c r="H12" s="1"/>
      <c r="I12" s="1"/>
    </row>
    <row r="13" spans="1:10" ht="14.25" x14ac:dyDescent="0.25">
      <c r="A13" s="20" t="s">
        <v>66</v>
      </c>
      <c r="B13" s="1"/>
      <c r="C13" s="1"/>
      <c r="D13" s="1"/>
      <c r="E13" s="1"/>
      <c r="F13" s="1"/>
      <c r="G13" s="1"/>
      <c r="H13" s="1"/>
      <c r="I13" s="1"/>
    </row>
    <row r="14" spans="1:10" ht="14.25" x14ac:dyDescent="0.25">
      <c r="A14" s="20" t="s">
        <v>65</v>
      </c>
      <c r="B14" s="1"/>
      <c r="C14" s="1"/>
      <c r="D14" s="1"/>
      <c r="E14" s="1"/>
      <c r="F14" s="1"/>
      <c r="G14" s="1"/>
      <c r="H14" s="1"/>
      <c r="I14" s="1"/>
    </row>
    <row r="16" spans="1:10" ht="16.5" thickBot="1" x14ac:dyDescent="0.3">
      <c r="A16" s="991" t="s">
        <v>667</v>
      </c>
      <c r="B16" s="991"/>
      <c r="C16" s="991"/>
      <c r="D16" s="991"/>
      <c r="E16" s="991"/>
      <c r="F16" s="991"/>
      <c r="G16" s="991"/>
      <c r="H16" s="991"/>
      <c r="I16" s="991"/>
    </row>
    <row r="17" spans="1:12" ht="51.75" thickTop="1" x14ac:dyDescent="0.2">
      <c r="A17" s="43"/>
      <c r="B17" s="989" t="s">
        <v>28</v>
      </c>
      <c r="C17" s="989"/>
      <c r="D17" s="989"/>
      <c r="E17" s="42" t="s">
        <v>27</v>
      </c>
      <c r="F17" s="41" t="s">
        <v>26</v>
      </c>
      <c r="G17" s="41" t="s">
        <v>326</v>
      </c>
      <c r="H17" s="1011" t="s">
        <v>25</v>
      </c>
      <c r="I17" s="1012"/>
      <c r="J17" s="440" t="s">
        <v>324</v>
      </c>
    </row>
    <row r="18" spans="1:12" ht="13.5" thickBot="1" x14ac:dyDescent="0.25">
      <c r="A18" s="40" t="s">
        <v>10</v>
      </c>
      <c r="B18" s="39" t="s">
        <v>24</v>
      </c>
      <c r="C18" s="39" t="s">
        <v>23</v>
      </c>
      <c r="D18" s="39" t="s">
        <v>0</v>
      </c>
      <c r="E18" s="39" t="s">
        <v>12</v>
      </c>
      <c r="F18" s="39" t="s">
        <v>12</v>
      </c>
      <c r="G18" s="39" t="s">
        <v>22</v>
      </c>
      <c r="H18" s="38" t="s">
        <v>12</v>
      </c>
      <c r="I18" s="96" t="s">
        <v>4</v>
      </c>
      <c r="J18" s="37" t="s">
        <v>4</v>
      </c>
    </row>
    <row r="19" spans="1:12" ht="15" thickTop="1" x14ac:dyDescent="0.2">
      <c r="A19" s="36" t="s">
        <v>21</v>
      </c>
      <c r="B19" s="5">
        <v>0.56000000000000005</v>
      </c>
      <c r="C19" s="5">
        <v>0.24</v>
      </c>
      <c r="D19" s="5">
        <f>B19+C19</f>
        <v>0.8</v>
      </c>
      <c r="E19" s="984">
        <v>25000</v>
      </c>
      <c r="F19" s="5">
        <f>($E$19/2000)*D19</f>
        <v>10</v>
      </c>
      <c r="G19" s="34">
        <v>90</v>
      </c>
      <c r="H19" s="33">
        <f>F19*((100-G19)/100)</f>
        <v>1</v>
      </c>
      <c r="I19" s="437">
        <f>H19*4.38</f>
        <v>4.38</v>
      </c>
      <c r="J19" s="32">
        <f>F19*4.38</f>
        <v>43.8</v>
      </c>
    </row>
    <row r="20" spans="1:12" ht="15" x14ac:dyDescent="0.25">
      <c r="A20" s="31" t="s">
        <v>20</v>
      </c>
      <c r="B20" s="4">
        <f>0.85*B19</f>
        <v>0.47600000000000003</v>
      </c>
      <c r="C20" s="4">
        <v>0.24</v>
      </c>
      <c r="D20" s="4">
        <f>B20+C20</f>
        <v>0.71599999999999997</v>
      </c>
      <c r="E20" s="985"/>
      <c r="F20" s="4">
        <f>($E$19/2000)*D20</f>
        <v>8.9499999999999993</v>
      </c>
      <c r="G20" s="29">
        <v>90</v>
      </c>
      <c r="H20" s="28">
        <f>F20*((100-G20)/100)</f>
        <v>0.89500000000000002</v>
      </c>
      <c r="I20" s="438">
        <f>H20*4.38</f>
        <v>3.9201000000000001</v>
      </c>
      <c r="J20" s="27">
        <f>F20*4.38</f>
        <v>39.200999999999993</v>
      </c>
    </row>
    <row r="21" spans="1:12" ht="15" x14ac:dyDescent="0.25">
      <c r="A21" s="140" t="s">
        <v>19</v>
      </c>
      <c r="B21" s="3">
        <f>B19*0.3</f>
        <v>0.16800000000000001</v>
      </c>
      <c r="C21" s="3">
        <v>0.24</v>
      </c>
      <c r="D21" s="3">
        <f>B21+C21</f>
        <v>0.40800000000000003</v>
      </c>
      <c r="E21" s="985"/>
      <c r="F21" s="3">
        <f>($E$19/2000)*D21</f>
        <v>5.1000000000000005</v>
      </c>
      <c r="G21" s="138">
        <v>90</v>
      </c>
      <c r="H21" s="139">
        <f>F21*((100-G21)/100)</f>
        <v>0.51000000000000012</v>
      </c>
      <c r="I21" s="442">
        <f>H21*4.38</f>
        <v>2.2338000000000005</v>
      </c>
      <c r="J21" s="27">
        <f>F21*4.38</f>
        <v>22.338000000000001</v>
      </c>
    </row>
    <row r="22" spans="1:12" ht="15" thickBot="1" x14ac:dyDescent="0.25">
      <c r="A22" s="26" t="s">
        <v>33</v>
      </c>
      <c r="B22" s="48" t="s">
        <v>223</v>
      </c>
      <c r="C22" s="48" t="s">
        <v>223</v>
      </c>
      <c r="D22" s="144">
        <v>8.5150000000000003E-2</v>
      </c>
      <c r="E22" s="986"/>
      <c r="F22" s="24">
        <f>($E$19/2000)*D22</f>
        <v>1.0643750000000001</v>
      </c>
      <c r="G22" s="23" t="s">
        <v>223</v>
      </c>
      <c r="H22" s="22">
        <f>F22</f>
        <v>1.0643750000000001</v>
      </c>
      <c r="I22" s="439">
        <f>H22*4.38</f>
        <v>4.6619625000000005</v>
      </c>
      <c r="J22" s="21">
        <f>F22*4.38</f>
        <v>4.6619625000000005</v>
      </c>
      <c r="L22" s="137"/>
    </row>
    <row r="23" spans="1:12" ht="14.25" thickTop="1" x14ac:dyDescent="0.2">
      <c r="A23" s="20" t="s">
        <v>32</v>
      </c>
      <c r="B23" s="1"/>
      <c r="C23" s="1"/>
      <c r="D23" s="1"/>
      <c r="E23" s="1"/>
      <c r="F23" s="1"/>
      <c r="G23" s="1"/>
      <c r="H23" s="1"/>
      <c r="I23" s="1"/>
    </row>
    <row r="24" spans="1:12" ht="28.5" customHeight="1" x14ac:dyDescent="0.2">
      <c r="A24" s="980" t="s">
        <v>35</v>
      </c>
      <c r="B24" s="980"/>
      <c r="C24" s="980"/>
      <c r="D24" s="980"/>
      <c r="E24" s="980"/>
      <c r="F24" s="980"/>
      <c r="G24" s="980"/>
      <c r="H24" s="980"/>
      <c r="I24" s="980"/>
    </row>
    <row r="25" spans="1:12" ht="28.5" customHeight="1" x14ac:dyDescent="0.2">
      <c r="A25" s="980" t="s">
        <v>34</v>
      </c>
      <c r="B25" s="980"/>
      <c r="C25" s="980"/>
      <c r="D25" s="980"/>
      <c r="E25" s="980"/>
      <c r="F25" s="980"/>
      <c r="G25" s="980"/>
      <c r="H25" s="980"/>
      <c r="I25" s="980"/>
    </row>
    <row r="26" spans="1:12" ht="13.5" x14ac:dyDescent="0.2">
      <c r="A26" s="20" t="s">
        <v>231</v>
      </c>
      <c r="B26" s="116"/>
      <c r="C26" s="116"/>
      <c r="D26" s="116"/>
      <c r="E26" s="116"/>
      <c r="F26" s="116"/>
      <c r="G26" s="116"/>
      <c r="H26" s="116"/>
      <c r="I26" s="116"/>
    </row>
    <row r="28" spans="1:12" ht="16.5" thickBot="1" x14ac:dyDescent="0.3">
      <c r="A28" s="991" t="s">
        <v>668</v>
      </c>
      <c r="B28" s="991"/>
      <c r="C28" s="991"/>
      <c r="D28" s="991"/>
      <c r="E28" s="991"/>
      <c r="F28" s="991"/>
      <c r="G28" s="991"/>
      <c r="H28" s="991"/>
      <c r="I28" s="991"/>
    </row>
    <row r="29" spans="1:12" ht="51.75" thickTop="1" x14ac:dyDescent="0.2">
      <c r="A29" s="43"/>
      <c r="B29" s="989" t="s">
        <v>28</v>
      </c>
      <c r="C29" s="989"/>
      <c r="D29" s="989"/>
      <c r="E29" s="42" t="s">
        <v>27</v>
      </c>
      <c r="F29" s="41" t="s">
        <v>26</v>
      </c>
      <c r="G29" s="41" t="s">
        <v>326</v>
      </c>
      <c r="H29" s="1011" t="s">
        <v>25</v>
      </c>
      <c r="I29" s="1012"/>
      <c r="J29" s="440" t="s">
        <v>324</v>
      </c>
    </row>
    <row r="30" spans="1:12" ht="13.5" thickBot="1" x14ac:dyDescent="0.25">
      <c r="A30" s="40" t="s">
        <v>10</v>
      </c>
      <c r="B30" s="39" t="s">
        <v>24</v>
      </c>
      <c r="C30" s="39" t="s">
        <v>23</v>
      </c>
      <c r="D30" s="39" t="s">
        <v>0</v>
      </c>
      <c r="E30" s="39" t="s">
        <v>12</v>
      </c>
      <c r="F30" s="39" t="s">
        <v>12</v>
      </c>
      <c r="G30" s="39" t="s">
        <v>22</v>
      </c>
      <c r="H30" s="38" t="s">
        <v>12</v>
      </c>
      <c r="I30" s="96" t="s">
        <v>4</v>
      </c>
      <c r="J30" s="37" t="s">
        <v>4</v>
      </c>
    </row>
    <row r="31" spans="1:12" ht="15" thickTop="1" x14ac:dyDescent="0.2">
      <c r="A31" s="36" t="s">
        <v>21</v>
      </c>
      <c r="B31" s="5">
        <v>0.56000000000000005</v>
      </c>
      <c r="C31" s="5">
        <v>0.24</v>
      </c>
      <c r="D31" s="5">
        <f>B31+C31</f>
        <v>0.8</v>
      </c>
      <c r="E31" s="984">
        <v>25000</v>
      </c>
      <c r="F31" s="5">
        <f>($E$31/2000)*D31</f>
        <v>10</v>
      </c>
      <c r="G31" s="34">
        <v>90</v>
      </c>
      <c r="H31" s="33">
        <f>F31*((100-G31)/100)</f>
        <v>1</v>
      </c>
      <c r="I31" s="437">
        <f>H31*4.38</f>
        <v>4.38</v>
      </c>
      <c r="J31" s="32">
        <f>F31*4.38</f>
        <v>43.8</v>
      </c>
    </row>
    <row r="32" spans="1:12" ht="15" x14ac:dyDescent="0.25">
      <c r="A32" s="31" t="s">
        <v>20</v>
      </c>
      <c r="B32" s="4">
        <f>0.85*B31</f>
        <v>0.47600000000000003</v>
      </c>
      <c r="C32" s="4">
        <v>0.24</v>
      </c>
      <c r="D32" s="4">
        <f>B32+C32</f>
        <v>0.71599999999999997</v>
      </c>
      <c r="E32" s="985"/>
      <c r="F32" s="4">
        <f>($E$31/2000)*D32</f>
        <v>8.9499999999999993</v>
      </c>
      <c r="G32" s="29">
        <v>90</v>
      </c>
      <c r="H32" s="28">
        <f>F32*((100-G32)/100)</f>
        <v>0.89500000000000002</v>
      </c>
      <c r="I32" s="438">
        <f>H32*4.38</f>
        <v>3.9201000000000001</v>
      </c>
      <c r="J32" s="27">
        <f>F32*4.38</f>
        <v>39.200999999999993</v>
      </c>
    </row>
    <row r="33" spans="1:12" ht="15" x14ac:dyDescent="0.25">
      <c r="A33" s="140" t="s">
        <v>19</v>
      </c>
      <c r="B33" s="3">
        <f>B31*0.3</f>
        <v>0.16800000000000001</v>
      </c>
      <c r="C33" s="3">
        <v>0.24</v>
      </c>
      <c r="D33" s="3">
        <f>B33+C33</f>
        <v>0.40800000000000003</v>
      </c>
      <c r="E33" s="985"/>
      <c r="F33" s="3">
        <f>($E$31/2000)*D33</f>
        <v>5.1000000000000005</v>
      </c>
      <c r="G33" s="138">
        <v>90</v>
      </c>
      <c r="H33" s="139">
        <f>F33*((100-G33)/100)</f>
        <v>0.51000000000000012</v>
      </c>
      <c r="I33" s="442">
        <f>H33*4.38</f>
        <v>2.2338000000000005</v>
      </c>
      <c r="J33" s="27">
        <f>F33*4.38</f>
        <v>22.338000000000001</v>
      </c>
    </row>
    <row r="34" spans="1:12" ht="15" thickBot="1" x14ac:dyDescent="0.25">
      <c r="A34" s="26" t="s">
        <v>33</v>
      </c>
      <c r="B34" s="48" t="s">
        <v>223</v>
      </c>
      <c r="C34" s="48" t="s">
        <v>223</v>
      </c>
      <c r="D34" s="144">
        <v>8.5150000000000003E-2</v>
      </c>
      <c r="E34" s="986"/>
      <c r="F34" s="24">
        <f>($E$31/2000)*D34</f>
        <v>1.0643750000000001</v>
      </c>
      <c r="G34" s="23" t="s">
        <v>223</v>
      </c>
      <c r="H34" s="22">
        <f>F34</f>
        <v>1.0643750000000001</v>
      </c>
      <c r="I34" s="439">
        <f>H34*4.38</f>
        <v>4.6619625000000005</v>
      </c>
      <c r="J34" s="21">
        <f>F34*4.38</f>
        <v>4.6619625000000005</v>
      </c>
      <c r="L34" s="118"/>
    </row>
    <row r="35" spans="1:12" ht="14.25" thickTop="1" x14ac:dyDescent="0.2">
      <c r="A35" s="20" t="s">
        <v>32</v>
      </c>
      <c r="B35" s="1"/>
      <c r="C35" s="1"/>
      <c r="D35" s="1"/>
      <c r="E35" s="1"/>
      <c r="F35" s="1"/>
      <c r="G35" s="1"/>
      <c r="H35" s="1"/>
      <c r="I35" s="1"/>
    </row>
    <row r="36" spans="1:12" ht="30" customHeight="1" x14ac:dyDescent="0.2">
      <c r="A36" s="980" t="s">
        <v>35</v>
      </c>
      <c r="B36" s="980"/>
      <c r="C36" s="980"/>
      <c r="D36" s="980"/>
      <c r="E36" s="980"/>
      <c r="F36" s="980"/>
      <c r="G36" s="980"/>
      <c r="H36" s="980"/>
      <c r="I36" s="980"/>
    </row>
    <row r="37" spans="1:12" ht="27.75" customHeight="1" x14ac:dyDescent="0.2">
      <c r="A37" s="980" t="s">
        <v>34</v>
      </c>
      <c r="B37" s="980"/>
      <c r="C37" s="980"/>
      <c r="D37" s="980"/>
      <c r="E37" s="980"/>
      <c r="F37" s="980"/>
      <c r="G37" s="980"/>
      <c r="H37" s="980"/>
      <c r="I37" s="980"/>
    </row>
    <row r="38" spans="1:12" ht="13.5" x14ac:dyDescent="0.2">
      <c r="A38" s="20" t="s">
        <v>231</v>
      </c>
      <c r="B38" s="116"/>
      <c r="C38" s="116"/>
      <c r="D38" s="116"/>
      <c r="E38" s="116"/>
      <c r="F38" s="116"/>
      <c r="G38" s="116"/>
      <c r="H38" s="116"/>
      <c r="I38" s="116"/>
    </row>
    <row r="40" spans="1:12" ht="16.5" thickBot="1" x14ac:dyDescent="0.3">
      <c r="A40" s="1004" t="s">
        <v>322</v>
      </c>
      <c r="B40" s="1004"/>
      <c r="C40" s="1004"/>
      <c r="D40" s="1004"/>
      <c r="E40" s="1004"/>
      <c r="F40" s="1004"/>
      <c r="G40" s="1004"/>
      <c r="H40" s="1004"/>
      <c r="I40" s="1004"/>
    </row>
    <row r="41" spans="1:12" ht="39" thickTop="1" x14ac:dyDescent="0.2">
      <c r="A41" s="11"/>
      <c r="B41" s="1"/>
      <c r="C41" s="1005" t="s">
        <v>10</v>
      </c>
      <c r="D41" s="1006"/>
      <c r="E41" s="19" t="s">
        <v>15</v>
      </c>
      <c r="F41" s="19" t="s">
        <v>325</v>
      </c>
      <c r="G41" s="18" t="s">
        <v>13</v>
      </c>
      <c r="H41" s="1"/>
      <c r="I41" s="1"/>
    </row>
    <row r="42" spans="1:12" ht="13.5" thickBot="1" x14ac:dyDescent="0.25">
      <c r="A42" s="11"/>
      <c r="B42" s="1"/>
      <c r="C42" s="1007"/>
      <c r="D42" s="1008"/>
      <c r="E42" s="17" t="s">
        <v>12</v>
      </c>
      <c r="F42" s="17" t="s">
        <v>4</v>
      </c>
      <c r="G42" s="16" t="s">
        <v>4</v>
      </c>
      <c r="H42" s="1"/>
      <c r="I42" s="1"/>
    </row>
    <row r="43" spans="1:12" ht="13.5" thickTop="1" x14ac:dyDescent="0.2">
      <c r="A43" s="11"/>
      <c r="B43" s="1"/>
      <c r="C43" s="1009" t="s">
        <v>9</v>
      </c>
      <c r="D43" s="1010"/>
      <c r="E43" s="15">
        <f>H9+H19+H31</f>
        <v>2.335</v>
      </c>
      <c r="F43" s="15">
        <f>SUM(J9,J19,J31)</f>
        <v>102.273</v>
      </c>
      <c r="G43" s="14">
        <f>SUM(I9,I19,I31)</f>
        <v>10.2273</v>
      </c>
      <c r="H43" s="1"/>
      <c r="I43" s="1"/>
    </row>
    <row r="44" spans="1:12" ht="14.25" x14ac:dyDescent="0.25">
      <c r="A44" s="11"/>
      <c r="B44" s="1"/>
      <c r="C44" s="1000" t="s">
        <v>8</v>
      </c>
      <c r="D44" s="1001"/>
      <c r="E44" s="15">
        <f>H10+H20+H32</f>
        <v>2.0747499999999999</v>
      </c>
      <c r="F44" s="15">
        <f>SUM(J10,J20,J32)</f>
        <v>90.874049999999983</v>
      </c>
      <c r="G44" s="14">
        <f>SUM(I10,I20,I32)</f>
        <v>9.0874050000000004</v>
      </c>
      <c r="H44" s="1"/>
      <c r="I44" s="1"/>
    </row>
    <row r="45" spans="1:12" ht="14.25" x14ac:dyDescent="0.25">
      <c r="A45" s="11"/>
      <c r="B45" s="1"/>
      <c r="C45" s="1000" t="s">
        <v>7</v>
      </c>
      <c r="D45" s="1001"/>
      <c r="E45" s="13">
        <f>H11+H21+H33</f>
        <v>1.1205000000000003</v>
      </c>
      <c r="F45" s="15">
        <f>SUM(J11,J21,J33)</f>
        <v>49.0779</v>
      </c>
      <c r="G45" s="14">
        <f>SUM(I11,I21,I33)</f>
        <v>4.9077900000000012</v>
      </c>
      <c r="H45" s="1"/>
      <c r="I45" s="1"/>
    </row>
    <row r="46" spans="1:12" ht="13.5" thickBot="1" x14ac:dyDescent="0.25">
      <c r="C46" s="1031" t="s">
        <v>6</v>
      </c>
      <c r="D46" s="1032"/>
      <c r="E46" s="141">
        <f>H22+H34</f>
        <v>2.1287500000000001</v>
      </c>
      <c r="F46" s="141">
        <f>SUM(J22,J34)</f>
        <v>9.3239250000000009</v>
      </c>
      <c r="G46" s="142">
        <f>SUM(I22,I34)</f>
        <v>9.3239250000000009</v>
      </c>
    </row>
    <row r="47" spans="1:12" ht="13.5" thickTop="1" x14ac:dyDescent="0.2"/>
    <row r="48" spans="1:12" x14ac:dyDescent="0.2">
      <c r="E48" s="46"/>
    </row>
  </sheetData>
  <mergeCells count="26">
    <mergeCell ref="B7:D7"/>
    <mergeCell ref="H7:I7"/>
    <mergeCell ref="E9:E11"/>
    <mergeCell ref="A16:I16"/>
    <mergeCell ref="A1:I1"/>
    <mergeCell ref="A2:I2"/>
    <mergeCell ref="A3:I3"/>
    <mergeCell ref="A6:I6"/>
    <mergeCell ref="A4:I4"/>
    <mergeCell ref="B17:D17"/>
    <mergeCell ref="H17:I17"/>
    <mergeCell ref="A28:I28"/>
    <mergeCell ref="A24:I24"/>
    <mergeCell ref="A25:I25"/>
    <mergeCell ref="E19:E22"/>
    <mergeCell ref="C46:D46"/>
    <mergeCell ref="H29:I29"/>
    <mergeCell ref="A40:I40"/>
    <mergeCell ref="A36:I36"/>
    <mergeCell ref="A37:I37"/>
    <mergeCell ref="E31:E34"/>
    <mergeCell ref="C41:D42"/>
    <mergeCell ref="C43:D43"/>
    <mergeCell ref="C44:D44"/>
    <mergeCell ref="C45:D45"/>
    <mergeCell ref="B29:D29"/>
  </mergeCells>
  <printOptions horizontalCentered="1"/>
  <pageMargins left="0.75" right="0.75" top="1" bottom="1" header="0.5" footer="0.5"/>
  <pageSetup scale="61" orientation="portrait" horizontalDpi="4294967293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5"/>
  <sheetViews>
    <sheetView view="pageBreakPreview" zoomScale="80" zoomScaleNormal="100" zoomScaleSheetLayoutView="80" workbookViewId="0">
      <selection activeCell="A2" sqref="A2:N2"/>
    </sheetView>
  </sheetViews>
  <sheetFormatPr defaultRowHeight="12.75" x14ac:dyDescent="0.2"/>
  <cols>
    <col min="1" max="1" width="14.7109375" customWidth="1"/>
    <col min="2" max="4" width="12.7109375" customWidth="1"/>
    <col min="5" max="5" width="10.28515625" customWidth="1"/>
    <col min="6" max="6" width="14.7109375" customWidth="1"/>
    <col min="7" max="7" width="8.85546875" customWidth="1"/>
    <col min="8" max="8" width="11.7109375" customWidth="1"/>
    <col min="9" max="10" width="12.7109375" customWidth="1"/>
    <col min="11" max="11" width="10.85546875" customWidth="1"/>
    <col min="12" max="12" width="17.5703125" customWidth="1"/>
    <col min="13" max="13" width="11.140625" customWidth="1"/>
    <col min="14" max="14" width="11.42578125" customWidth="1"/>
    <col min="15" max="15" width="13.5703125" customWidth="1"/>
  </cols>
  <sheetData>
    <row r="1" spans="1:15" ht="18" x14ac:dyDescent="0.25">
      <c r="A1" s="983" t="s">
        <v>11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</row>
    <row r="2" spans="1:15" ht="15.75" x14ac:dyDescent="0.25">
      <c r="A2" s="945" t="s">
        <v>669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</row>
    <row r="3" spans="1:15" ht="18.75" x14ac:dyDescent="0.35">
      <c r="A3" s="945" t="s">
        <v>56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</row>
    <row r="4" spans="1:15" ht="15" x14ac:dyDescent="0.2">
      <c r="A4" s="990"/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</row>
    <row r="5" spans="1:15" s="124" customFormat="1" x14ac:dyDescent="0.2">
      <c r="A5" s="929" t="s">
        <v>611</v>
      </c>
      <c r="I5" s="125"/>
    </row>
    <row r="6" spans="1:15" ht="16.5" thickBot="1" x14ac:dyDescent="0.3">
      <c r="A6" s="991" t="s">
        <v>71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  <c r="M6" s="991"/>
      <c r="N6" s="991"/>
    </row>
    <row r="7" spans="1:15" ht="38.25" customHeight="1" thickTop="1" x14ac:dyDescent="0.2">
      <c r="A7" s="43"/>
      <c r="B7" s="989" t="s">
        <v>28</v>
      </c>
      <c r="C7" s="989"/>
      <c r="D7" s="989"/>
      <c r="E7" s="42" t="s">
        <v>27</v>
      </c>
      <c r="F7" s="41" t="s">
        <v>26</v>
      </c>
      <c r="G7" s="101" t="s">
        <v>89</v>
      </c>
      <c r="H7" s="41" t="s">
        <v>88</v>
      </c>
      <c r="I7" s="1022" t="s">
        <v>25</v>
      </c>
      <c r="J7" s="1023"/>
      <c r="K7" s="99" t="s">
        <v>327</v>
      </c>
      <c r="L7" s="98" t="s">
        <v>87</v>
      </c>
      <c r="M7" s="993" t="s">
        <v>25</v>
      </c>
      <c r="N7" s="1021"/>
      <c r="O7" s="440" t="s">
        <v>324</v>
      </c>
    </row>
    <row r="8" spans="1:15" ht="13.5" thickBot="1" x14ac:dyDescent="0.25">
      <c r="A8" s="40" t="s">
        <v>10</v>
      </c>
      <c r="B8" s="39" t="s">
        <v>24</v>
      </c>
      <c r="C8" s="39" t="s">
        <v>23</v>
      </c>
      <c r="D8" s="39" t="s">
        <v>0</v>
      </c>
      <c r="E8" s="39" t="s">
        <v>12</v>
      </c>
      <c r="F8" s="39" t="s">
        <v>12</v>
      </c>
      <c r="G8" s="7" t="s">
        <v>86</v>
      </c>
      <c r="H8" s="7" t="s">
        <v>85</v>
      </c>
      <c r="I8" s="7" t="s">
        <v>12</v>
      </c>
      <c r="J8" s="97" t="s">
        <v>4</v>
      </c>
      <c r="K8" s="6" t="s">
        <v>22</v>
      </c>
      <c r="L8" s="96" t="s">
        <v>22</v>
      </c>
      <c r="M8" s="38" t="s">
        <v>12</v>
      </c>
      <c r="N8" s="96" t="s">
        <v>4</v>
      </c>
      <c r="O8" s="37" t="s">
        <v>4</v>
      </c>
    </row>
    <row r="9" spans="1:15" ht="15" thickTop="1" x14ac:dyDescent="0.2">
      <c r="A9" s="36" t="s">
        <v>84</v>
      </c>
      <c r="B9" s="35" t="s">
        <v>3</v>
      </c>
      <c r="C9" s="35" t="s">
        <v>3</v>
      </c>
      <c r="D9" s="738">
        <v>0.73</v>
      </c>
      <c r="E9" s="1013">
        <v>2500</v>
      </c>
      <c r="F9" s="5">
        <f>($E$9/2000)*D9</f>
        <v>0.91249999999999998</v>
      </c>
      <c r="G9" s="1018">
        <v>240</v>
      </c>
      <c r="H9" s="1018">
        <v>2E-3</v>
      </c>
      <c r="I9" s="95">
        <f>(H9/7000)*G9*60</f>
        <v>4.1142857142857144E-3</v>
      </c>
      <c r="J9" s="94">
        <f>I9*4.38</f>
        <v>1.8020571428571427E-2</v>
      </c>
      <c r="K9" s="93">
        <f>(F9-I9)/F9</f>
        <v>0.99549119373776906</v>
      </c>
      <c r="L9" s="92">
        <v>0.99</v>
      </c>
      <c r="M9" s="91">
        <f>F9*(1-L9)</f>
        <v>9.1250000000000081E-3</v>
      </c>
      <c r="N9" s="437">
        <f>M9*4.38</f>
        <v>3.9967500000000038E-2</v>
      </c>
      <c r="O9" s="770">
        <f>F9*4.38</f>
        <v>3.99675</v>
      </c>
    </row>
    <row r="10" spans="1:15" ht="15" x14ac:dyDescent="0.25">
      <c r="A10" s="31" t="s">
        <v>83</v>
      </c>
      <c r="B10" s="30" t="s">
        <v>3</v>
      </c>
      <c r="C10" s="30" t="s">
        <v>3</v>
      </c>
      <c r="D10" s="739">
        <v>0.47</v>
      </c>
      <c r="E10" s="1014"/>
      <c r="F10" s="4">
        <f>($E$9/2000)*D10</f>
        <v>0.58749999999999991</v>
      </c>
      <c r="G10" s="1019"/>
      <c r="H10" s="1019"/>
      <c r="I10" s="90">
        <f>(H9/7000)*G9*60</f>
        <v>4.1142857142857144E-3</v>
      </c>
      <c r="J10" s="89">
        <f>I10*4.38</f>
        <v>1.8020571428571427E-2</v>
      </c>
      <c r="K10" s="88">
        <f>(F10-I10)/F10</f>
        <v>0.99299696048632213</v>
      </c>
      <c r="L10" s="87">
        <v>0.99</v>
      </c>
      <c r="M10" s="91">
        <f>F10*(1-L10)</f>
        <v>5.8750000000000044E-3</v>
      </c>
      <c r="N10" s="438">
        <f>M10*4.38</f>
        <v>2.5732500000000019E-2</v>
      </c>
      <c r="O10" s="774">
        <f>F10*4.38</f>
        <v>2.5732499999999994</v>
      </c>
    </row>
    <row r="11" spans="1:15" ht="15.75" thickBot="1" x14ac:dyDescent="0.3">
      <c r="A11" s="26" t="s">
        <v>82</v>
      </c>
      <c r="B11" s="25" t="s">
        <v>3</v>
      </c>
      <c r="C11" s="25" t="s">
        <v>3</v>
      </c>
      <c r="D11" s="740">
        <v>0.47</v>
      </c>
      <c r="E11" s="1015"/>
      <c r="F11" s="24">
        <f>($E$9/2000)*D11</f>
        <v>0.58749999999999991</v>
      </c>
      <c r="G11" s="1020"/>
      <c r="H11" s="1020"/>
      <c r="I11" s="86">
        <f>(H9/7000)*G9*60</f>
        <v>4.1142857142857144E-3</v>
      </c>
      <c r="J11" s="85">
        <f>I11*4.38</f>
        <v>1.8020571428571427E-2</v>
      </c>
      <c r="K11" s="84">
        <f>(F11-I11)/F11</f>
        <v>0.99299696048632213</v>
      </c>
      <c r="L11" s="83">
        <v>0.99</v>
      </c>
      <c r="M11" s="82">
        <f>F11*(1-L11)</f>
        <v>5.8750000000000044E-3</v>
      </c>
      <c r="N11" s="439">
        <f>M11*4.38</f>
        <v>2.5732500000000019E-2</v>
      </c>
      <c r="O11" s="775">
        <f>F11*4.38</f>
        <v>2.5732499999999994</v>
      </c>
    </row>
    <row r="12" spans="1:15" ht="14.25" thickTop="1" x14ac:dyDescent="0.2">
      <c r="A12" s="81" t="s">
        <v>81</v>
      </c>
    </row>
    <row r="13" spans="1:15" ht="13.5" x14ac:dyDescent="0.2">
      <c r="A13" s="20" t="s">
        <v>80</v>
      </c>
    </row>
    <row r="14" spans="1:15" ht="14.25" x14ac:dyDescent="0.25">
      <c r="A14" s="20" t="s">
        <v>79</v>
      </c>
    </row>
    <row r="15" spans="1:15" ht="14.25" x14ac:dyDescent="0.25">
      <c r="A15" s="20" t="s">
        <v>78</v>
      </c>
    </row>
  </sheetData>
  <mergeCells count="11">
    <mergeCell ref="A1:N1"/>
    <mergeCell ref="A2:N2"/>
    <mergeCell ref="A3:N3"/>
    <mergeCell ref="A4:N4"/>
    <mergeCell ref="A6:N6"/>
    <mergeCell ref="E9:E11"/>
    <mergeCell ref="G9:G11"/>
    <mergeCell ref="H9:H11"/>
    <mergeCell ref="M7:N7"/>
    <mergeCell ref="B7:D7"/>
    <mergeCell ref="I7:J7"/>
  </mergeCells>
  <printOptions horizontalCentered="1"/>
  <pageMargins left="0.75" right="0.75" top="1" bottom="1" header="0.5" footer="0.5"/>
  <pageSetup scale="64" orientation="landscape" horizontalDpi="4294967293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view="pageBreakPreview" zoomScale="90" zoomScaleNormal="115" zoomScaleSheetLayoutView="90" workbookViewId="0">
      <selection activeCell="A29" sqref="A29:I29"/>
    </sheetView>
  </sheetViews>
  <sheetFormatPr defaultRowHeight="12.75" x14ac:dyDescent="0.2"/>
  <cols>
    <col min="1" max="1" width="14.7109375" style="11" customWidth="1"/>
    <col min="2" max="9" width="14.7109375" style="1" customWidth="1"/>
    <col min="10" max="10" width="16.7109375" style="1" customWidth="1"/>
  </cols>
  <sheetData>
    <row r="1" spans="1:10" ht="18" x14ac:dyDescent="0.25">
      <c r="A1" s="983" t="s">
        <v>11</v>
      </c>
      <c r="B1" s="983"/>
      <c r="C1" s="983"/>
      <c r="D1" s="983"/>
      <c r="E1" s="983"/>
      <c r="F1" s="983"/>
      <c r="G1" s="983"/>
      <c r="H1" s="983"/>
      <c r="I1" s="983"/>
    </row>
    <row r="2" spans="1:10" ht="15.75" x14ac:dyDescent="0.25">
      <c r="A2" s="945" t="s">
        <v>670</v>
      </c>
      <c r="B2" s="945"/>
      <c r="C2" s="945"/>
      <c r="D2" s="945"/>
      <c r="E2" s="945"/>
      <c r="F2" s="945"/>
      <c r="G2" s="945"/>
      <c r="H2" s="945"/>
      <c r="I2" s="945"/>
    </row>
    <row r="3" spans="1:10" ht="15" x14ac:dyDescent="0.2">
      <c r="A3" s="990"/>
      <c r="B3" s="990"/>
      <c r="C3" s="990"/>
      <c r="D3" s="990"/>
      <c r="E3" s="990"/>
      <c r="F3" s="990"/>
      <c r="G3" s="990"/>
      <c r="H3" s="990"/>
      <c r="I3" s="990"/>
    </row>
    <row r="5" spans="1:10" ht="16.5" thickBot="1" x14ac:dyDescent="0.3">
      <c r="A5" s="991" t="s">
        <v>671</v>
      </c>
      <c r="B5" s="991"/>
      <c r="C5" s="991"/>
      <c r="D5" s="991"/>
      <c r="E5" s="991"/>
      <c r="F5" s="991"/>
      <c r="G5" s="991"/>
      <c r="H5" s="991"/>
      <c r="I5" s="991"/>
    </row>
    <row r="6" spans="1:10" ht="51.75" thickTop="1" x14ac:dyDescent="0.2">
      <c r="A6" s="43"/>
      <c r="B6" s="989" t="s">
        <v>28</v>
      </c>
      <c r="C6" s="989"/>
      <c r="D6" s="989"/>
      <c r="E6" s="42" t="s">
        <v>27</v>
      </c>
      <c r="F6" s="41" t="s">
        <v>26</v>
      </c>
      <c r="G6" s="41" t="s">
        <v>326</v>
      </c>
      <c r="H6" s="1011" t="s">
        <v>25</v>
      </c>
      <c r="I6" s="1012"/>
      <c r="J6" s="440" t="s">
        <v>324</v>
      </c>
    </row>
    <row r="7" spans="1:10" s="9" customFormat="1" ht="13.5" thickBot="1" x14ac:dyDescent="0.25">
      <c r="A7" s="40" t="s">
        <v>10</v>
      </c>
      <c r="B7" s="39" t="s">
        <v>24</v>
      </c>
      <c r="C7" s="39" t="s">
        <v>23</v>
      </c>
      <c r="D7" s="39" t="s">
        <v>0</v>
      </c>
      <c r="E7" s="39" t="s">
        <v>12</v>
      </c>
      <c r="F7" s="39" t="s">
        <v>12</v>
      </c>
      <c r="G7" s="39" t="s">
        <v>22</v>
      </c>
      <c r="H7" s="38" t="s">
        <v>12</v>
      </c>
      <c r="I7" s="96" t="s">
        <v>4</v>
      </c>
      <c r="J7" s="37" t="s">
        <v>4</v>
      </c>
    </row>
    <row r="8" spans="1:10" ht="15" thickTop="1" x14ac:dyDescent="0.2">
      <c r="A8" s="36" t="s">
        <v>21</v>
      </c>
      <c r="B8" s="5">
        <v>0.56000000000000005</v>
      </c>
      <c r="C8" s="5">
        <v>0.24</v>
      </c>
      <c r="D8" s="5">
        <f>B8+C8</f>
        <v>0.8</v>
      </c>
      <c r="E8" s="1013">
        <v>37893</v>
      </c>
      <c r="F8" s="5">
        <f>($E$8/2000)*D8</f>
        <v>15.157200000000001</v>
      </c>
      <c r="G8" s="34">
        <v>90</v>
      </c>
      <c r="H8" s="33">
        <f>F8*((100-G8)/100)</f>
        <v>1.5157200000000002</v>
      </c>
      <c r="I8" s="437">
        <f>H8*4.38</f>
        <v>6.6388536000000009</v>
      </c>
      <c r="J8" s="32">
        <f>F8*4.38</f>
        <v>66.388536000000002</v>
      </c>
    </row>
    <row r="9" spans="1:10" ht="15" x14ac:dyDescent="0.25">
      <c r="A9" s="31" t="s">
        <v>20</v>
      </c>
      <c r="B9" s="4">
        <f>0.85*B8</f>
        <v>0.47600000000000003</v>
      </c>
      <c r="C9" s="4">
        <v>0.24</v>
      </c>
      <c r="D9" s="4">
        <f>B9+C9</f>
        <v>0.71599999999999997</v>
      </c>
      <c r="E9" s="1014"/>
      <c r="F9" s="4">
        <f>($E$8/2000)*D9</f>
        <v>13.565693999999999</v>
      </c>
      <c r="G9" s="29">
        <v>90</v>
      </c>
      <c r="H9" s="28">
        <f>F9*((100-G9)/100)</f>
        <v>1.3565693999999999</v>
      </c>
      <c r="I9" s="438">
        <f>H9*4.38</f>
        <v>5.9417739719999991</v>
      </c>
      <c r="J9" s="27">
        <f>F9*4.38</f>
        <v>59.417739719999993</v>
      </c>
    </row>
    <row r="10" spans="1:10" ht="15" x14ac:dyDescent="0.25">
      <c r="A10" s="31" t="s">
        <v>19</v>
      </c>
      <c r="B10" s="4">
        <f>B8*0.3</f>
        <v>0.16800000000000001</v>
      </c>
      <c r="C10" s="4">
        <v>0.24</v>
      </c>
      <c r="D10" s="4">
        <f>B10+C10</f>
        <v>0.40800000000000003</v>
      </c>
      <c r="E10" s="1014"/>
      <c r="F10" s="4">
        <f>($E$8/2000)*D10</f>
        <v>7.7301720000000005</v>
      </c>
      <c r="G10" s="29">
        <v>90</v>
      </c>
      <c r="H10" s="28">
        <f>F10*((100-G10)/100)</f>
        <v>0.77301720000000007</v>
      </c>
      <c r="I10" s="438">
        <f>H10*4.38</f>
        <v>3.3858153360000003</v>
      </c>
      <c r="J10" s="27">
        <f>F10*4.38</f>
        <v>33.858153360000003</v>
      </c>
    </row>
    <row r="11" spans="1:10" ht="15" thickBot="1" x14ac:dyDescent="0.25">
      <c r="A11" s="26" t="s">
        <v>33</v>
      </c>
      <c r="B11" s="25" t="s">
        <v>3</v>
      </c>
      <c r="C11" s="25" t="s">
        <v>3</v>
      </c>
      <c r="D11" s="144">
        <v>8.5000000000000006E-2</v>
      </c>
      <c r="E11" s="1015"/>
      <c r="F11" s="24">
        <f>($E$8/2000)*D11</f>
        <v>1.6104525000000001</v>
      </c>
      <c r="G11" s="448" t="s">
        <v>223</v>
      </c>
      <c r="H11" s="449">
        <f>F11</f>
        <v>1.6104525000000001</v>
      </c>
      <c r="I11" s="450">
        <f>H11*4.38</f>
        <v>7.0537819500000003</v>
      </c>
      <c r="J11" s="21">
        <f>F11*4.38</f>
        <v>7.0537819500000003</v>
      </c>
    </row>
    <row r="12" spans="1:10" ht="14.25" thickTop="1" x14ac:dyDescent="0.2">
      <c r="A12" s="20" t="s">
        <v>32</v>
      </c>
    </row>
    <row r="13" spans="1:10" ht="27" customHeight="1" x14ac:dyDescent="0.2">
      <c r="A13" s="980" t="s">
        <v>35</v>
      </c>
      <c r="B13" s="980"/>
      <c r="C13" s="980"/>
      <c r="D13" s="980"/>
      <c r="E13" s="980"/>
      <c r="F13" s="980"/>
      <c r="G13" s="980"/>
      <c r="H13" s="980"/>
      <c r="I13" s="980"/>
      <c r="J13" s="980"/>
    </row>
    <row r="14" spans="1:10" ht="28.5" customHeight="1" x14ac:dyDescent="0.2">
      <c r="A14" s="980" t="s">
        <v>34</v>
      </c>
      <c r="B14" s="980"/>
      <c r="C14" s="980"/>
      <c r="D14" s="980"/>
      <c r="E14" s="980"/>
      <c r="F14" s="980"/>
      <c r="G14" s="980"/>
      <c r="H14" s="980"/>
      <c r="I14" s="980"/>
      <c r="J14" s="980"/>
    </row>
    <row r="15" spans="1:10" ht="13.5" x14ac:dyDescent="0.2">
      <c r="A15" s="20" t="s">
        <v>329</v>
      </c>
    </row>
    <row r="16" spans="1:10" x14ac:dyDescent="0.2">
      <c r="A16" s="44"/>
    </row>
    <row r="17" spans="1:10" ht="16.5" thickBot="1" x14ac:dyDescent="0.3">
      <c r="A17" s="991" t="s">
        <v>672</v>
      </c>
      <c r="B17" s="991"/>
      <c r="C17" s="991"/>
      <c r="D17" s="991"/>
      <c r="E17" s="991"/>
      <c r="F17" s="991"/>
      <c r="G17" s="991"/>
      <c r="H17" s="991"/>
      <c r="I17" s="991"/>
      <c r="J17"/>
    </row>
    <row r="18" spans="1:10" ht="51.75" thickTop="1" x14ac:dyDescent="0.2">
      <c r="A18" s="43"/>
      <c r="B18" s="989" t="s">
        <v>28</v>
      </c>
      <c r="C18" s="989"/>
      <c r="D18" s="989"/>
      <c r="E18" s="42" t="s">
        <v>27</v>
      </c>
      <c r="F18" s="41" t="s">
        <v>26</v>
      </c>
      <c r="G18" s="41" t="s">
        <v>326</v>
      </c>
      <c r="H18" s="1011" t="s">
        <v>25</v>
      </c>
      <c r="I18" s="1012"/>
      <c r="J18" s="440" t="s">
        <v>324</v>
      </c>
    </row>
    <row r="19" spans="1:10" ht="13.5" thickBot="1" x14ac:dyDescent="0.25">
      <c r="A19" s="40" t="s">
        <v>10</v>
      </c>
      <c r="B19" s="39" t="s">
        <v>24</v>
      </c>
      <c r="C19" s="39" t="s">
        <v>23</v>
      </c>
      <c r="D19" s="39" t="s">
        <v>0</v>
      </c>
      <c r="E19" s="39" t="s">
        <v>12</v>
      </c>
      <c r="F19" s="39" t="s">
        <v>12</v>
      </c>
      <c r="G19" s="39" t="s">
        <v>22</v>
      </c>
      <c r="H19" s="38" t="s">
        <v>12</v>
      </c>
      <c r="I19" s="96" t="s">
        <v>4</v>
      </c>
      <c r="J19" s="37" t="s">
        <v>4</v>
      </c>
    </row>
    <row r="20" spans="1:10" ht="15" thickTop="1" x14ac:dyDescent="0.2">
      <c r="A20" s="36" t="s">
        <v>21</v>
      </c>
      <c r="B20" s="5">
        <v>0.56000000000000005</v>
      </c>
      <c r="C20" s="5">
        <v>0.24</v>
      </c>
      <c r="D20" s="5">
        <f>B20+C20</f>
        <v>0.8</v>
      </c>
      <c r="E20" s="1013">
        <v>10717</v>
      </c>
      <c r="F20" s="5">
        <f>($E$20/2000)*D20</f>
        <v>4.2868000000000004</v>
      </c>
      <c r="G20" s="34">
        <v>90</v>
      </c>
      <c r="H20" s="33">
        <f>F20*((100-G20)/100)</f>
        <v>0.42868000000000006</v>
      </c>
      <c r="I20" s="437">
        <f>H20*4.38</f>
        <v>1.8776184000000002</v>
      </c>
      <c r="J20" s="32">
        <f>F20*4.38</f>
        <v>18.776184000000001</v>
      </c>
    </row>
    <row r="21" spans="1:10" ht="15" x14ac:dyDescent="0.25">
      <c r="A21" s="31" t="s">
        <v>20</v>
      </c>
      <c r="B21" s="4">
        <f>0.85*B20</f>
        <v>0.47600000000000003</v>
      </c>
      <c r="C21" s="4">
        <v>0.24</v>
      </c>
      <c r="D21" s="4">
        <f>B21+C21</f>
        <v>0.71599999999999997</v>
      </c>
      <c r="E21" s="1014"/>
      <c r="F21" s="4">
        <f>($E$20/2000)*D21</f>
        <v>3.8366859999999998</v>
      </c>
      <c r="G21" s="29">
        <v>90</v>
      </c>
      <c r="H21" s="28">
        <f>F21*((100-G21)/100)</f>
        <v>0.38366860000000003</v>
      </c>
      <c r="I21" s="438">
        <f>H21*4.38</f>
        <v>1.6804684680000002</v>
      </c>
      <c r="J21" s="27">
        <f>F21*4.38</f>
        <v>16.804684679999998</v>
      </c>
    </row>
    <row r="22" spans="1:10" ht="15" x14ac:dyDescent="0.25">
      <c r="A22" s="31" t="s">
        <v>19</v>
      </c>
      <c r="B22" s="4">
        <f>B20*0.3</f>
        <v>0.16800000000000001</v>
      </c>
      <c r="C22" s="4">
        <v>0.24</v>
      </c>
      <c r="D22" s="4">
        <f>B22+C22</f>
        <v>0.40800000000000003</v>
      </c>
      <c r="E22" s="1014"/>
      <c r="F22" s="4">
        <f>($E$20/2000)*D22</f>
        <v>2.1862680000000001</v>
      </c>
      <c r="G22" s="29">
        <v>90</v>
      </c>
      <c r="H22" s="28">
        <f>F22*((100-G22)/100)</f>
        <v>0.21862680000000001</v>
      </c>
      <c r="I22" s="438">
        <f>H22*4.38</f>
        <v>0.95758538400000004</v>
      </c>
      <c r="J22" s="27">
        <f>F22*4.38</f>
        <v>9.5758538400000006</v>
      </c>
    </row>
    <row r="23" spans="1:10" ht="15" thickBot="1" x14ac:dyDescent="0.25">
      <c r="A23" s="26" t="s">
        <v>33</v>
      </c>
      <c r="B23" s="25" t="s">
        <v>3</v>
      </c>
      <c r="C23" s="25" t="s">
        <v>3</v>
      </c>
      <c r="D23" s="24">
        <v>8.5000000000000006E-2</v>
      </c>
      <c r="E23" s="1015"/>
      <c r="F23" s="24">
        <f>($E$20/2000)*D23</f>
        <v>0.45547250000000006</v>
      </c>
      <c r="G23" s="448" t="s">
        <v>223</v>
      </c>
      <c r="H23" s="449">
        <f>F23</f>
        <v>0.45547250000000006</v>
      </c>
      <c r="I23" s="450">
        <f>H23*4.38</f>
        <v>1.9949695500000002</v>
      </c>
      <c r="J23" s="21">
        <f>F23*4.38</f>
        <v>1.9949695500000002</v>
      </c>
    </row>
    <row r="24" spans="1:10" ht="14.25" thickTop="1" x14ac:dyDescent="0.2">
      <c r="A24" s="20" t="s">
        <v>32</v>
      </c>
      <c r="J24"/>
    </row>
    <row r="25" spans="1:10" ht="27" customHeight="1" x14ac:dyDescent="0.2">
      <c r="A25" s="980" t="s">
        <v>31</v>
      </c>
      <c r="B25" s="980"/>
      <c r="C25" s="980"/>
      <c r="D25" s="980"/>
      <c r="E25" s="980"/>
      <c r="F25" s="980"/>
      <c r="G25" s="980"/>
      <c r="H25" s="980"/>
      <c r="I25" s="980"/>
      <c r="J25" s="980"/>
    </row>
    <row r="26" spans="1:10" ht="28.5" customHeight="1" x14ac:dyDescent="0.2">
      <c r="A26" s="980" t="s">
        <v>30</v>
      </c>
      <c r="B26" s="980"/>
      <c r="C26" s="980"/>
      <c r="D26" s="980"/>
      <c r="E26" s="980"/>
      <c r="F26" s="980"/>
      <c r="G26" s="980"/>
      <c r="H26" s="980"/>
      <c r="I26" s="980"/>
      <c r="J26" s="980"/>
    </row>
    <row r="27" spans="1:10" ht="13.5" x14ac:dyDescent="0.2">
      <c r="A27" s="20" t="s">
        <v>29</v>
      </c>
      <c r="J27"/>
    </row>
    <row r="29" spans="1:10" ht="16.5" thickBot="1" x14ac:dyDescent="0.3">
      <c r="A29" s="991" t="s">
        <v>673</v>
      </c>
      <c r="B29" s="991"/>
      <c r="C29" s="991"/>
      <c r="D29" s="991"/>
      <c r="E29" s="991"/>
      <c r="F29" s="991"/>
      <c r="G29" s="991"/>
      <c r="H29" s="991"/>
      <c r="I29" s="991"/>
      <c r="J29"/>
    </row>
    <row r="30" spans="1:10" ht="51.75" thickTop="1" x14ac:dyDescent="0.2">
      <c r="A30" s="43"/>
      <c r="B30" s="989" t="s">
        <v>28</v>
      </c>
      <c r="C30" s="989"/>
      <c r="D30" s="989"/>
      <c r="E30" s="42" t="s">
        <v>27</v>
      </c>
      <c r="F30" s="41" t="s">
        <v>26</v>
      </c>
      <c r="G30" s="41" t="s">
        <v>326</v>
      </c>
      <c r="H30" s="1011" t="s">
        <v>25</v>
      </c>
      <c r="I30" s="1012"/>
      <c r="J30" s="440" t="s">
        <v>324</v>
      </c>
    </row>
    <row r="31" spans="1:10" ht="13.5" thickBot="1" x14ac:dyDescent="0.25">
      <c r="A31" s="40" t="s">
        <v>10</v>
      </c>
      <c r="B31" s="39" t="s">
        <v>24</v>
      </c>
      <c r="C31" s="39" t="s">
        <v>23</v>
      </c>
      <c r="D31" s="39" t="s">
        <v>0</v>
      </c>
      <c r="E31" s="39" t="s">
        <v>12</v>
      </c>
      <c r="F31" s="39" t="s">
        <v>12</v>
      </c>
      <c r="G31" s="39" t="s">
        <v>22</v>
      </c>
      <c r="H31" s="38" t="s">
        <v>12</v>
      </c>
      <c r="I31" s="96" t="s">
        <v>4</v>
      </c>
      <c r="J31" s="37" t="s">
        <v>4</v>
      </c>
    </row>
    <row r="32" spans="1:10" ht="15" thickTop="1" x14ac:dyDescent="0.2">
      <c r="A32" s="36" t="s">
        <v>21</v>
      </c>
      <c r="B32" s="5">
        <f>0.067/0.2</f>
        <v>0.33500000000000002</v>
      </c>
      <c r="C32" s="35" t="s">
        <v>3</v>
      </c>
      <c r="D32" s="5">
        <f>B32</f>
        <v>0.33500000000000002</v>
      </c>
      <c r="E32" s="1013">
        <v>9860</v>
      </c>
      <c r="F32" s="5">
        <f>($E$32/2000)*D32</f>
        <v>1.6515500000000001</v>
      </c>
      <c r="G32" s="34">
        <v>90</v>
      </c>
      <c r="H32" s="33">
        <f>F32*((100-G32)/100)</f>
        <v>0.16515500000000002</v>
      </c>
      <c r="I32" s="437">
        <f>H32*4.38</f>
        <v>0.72337890000000005</v>
      </c>
      <c r="J32" s="32">
        <f>F32*4.38</f>
        <v>7.2337889999999998</v>
      </c>
    </row>
    <row r="33" spans="1:10" ht="15" x14ac:dyDescent="0.25">
      <c r="A33" s="31" t="s">
        <v>20</v>
      </c>
      <c r="B33" s="4">
        <f>0.85*B32</f>
        <v>0.28475</v>
      </c>
      <c r="C33" s="30" t="s">
        <v>3</v>
      </c>
      <c r="D33" s="4">
        <f>B33</f>
        <v>0.28475</v>
      </c>
      <c r="E33" s="1014"/>
      <c r="F33" s="4">
        <f>($E$32/2000)*D33</f>
        <v>1.4038174999999999</v>
      </c>
      <c r="G33" s="29">
        <v>90</v>
      </c>
      <c r="H33" s="28">
        <f>F33*((100-G33)/100)</f>
        <v>0.14038175</v>
      </c>
      <c r="I33" s="438">
        <f>H33*4.38</f>
        <v>0.61487206500000002</v>
      </c>
      <c r="J33" s="27">
        <f>F33*4.38</f>
        <v>6.1487206499999996</v>
      </c>
    </row>
    <row r="34" spans="1:10" ht="15.75" thickBot="1" x14ac:dyDescent="0.3">
      <c r="A34" s="26" t="s">
        <v>19</v>
      </c>
      <c r="B34" s="24">
        <f>B32*0.3</f>
        <v>0.10050000000000001</v>
      </c>
      <c r="C34" s="25" t="s">
        <v>3</v>
      </c>
      <c r="D34" s="24">
        <f>B34</f>
        <v>0.10050000000000001</v>
      </c>
      <c r="E34" s="1015"/>
      <c r="F34" s="24">
        <f>($E$32/2000)*D34</f>
        <v>0.49546499999999999</v>
      </c>
      <c r="G34" s="23">
        <v>90</v>
      </c>
      <c r="H34" s="445">
        <f>F34*((100-G34)/100)</f>
        <v>4.95465E-2</v>
      </c>
      <c r="I34" s="446">
        <f>H34*4.38</f>
        <v>0.21701366999999999</v>
      </c>
      <c r="J34" s="21">
        <f>F34*4.38</f>
        <v>2.1701367</v>
      </c>
    </row>
    <row r="35" spans="1:10" ht="14.25" thickTop="1" x14ac:dyDescent="0.2">
      <c r="A35" s="20" t="s">
        <v>18</v>
      </c>
    </row>
    <row r="36" spans="1:10" ht="14.25" x14ac:dyDescent="0.25">
      <c r="A36" s="20" t="s">
        <v>17</v>
      </c>
      <c r="J36"/>
    </row>
    <row r="37" spans="1:10" ht="14.25" x14ac:dyDescent="0.25">
      <c r="A37" s="20" t="s">
        <v>16</v>
      </c>
      <c r="J37"/>
    </row>
    <row r="38" spans="1:10" ht="13.5" x14ac:dyDescent="0.2">
      <c r="A38" s="20"/>
      <c r="J38"/>
    </row>
    <row r="39" spans="1:10" ht="16.5" thickBot="1" x14ac:dyDescent="0.3">
      <c r="A39" s="1004" t="s">
        <v>323</v>
      </c>
      <c r="B39" s="1004"/>
      <c r="C39" s="1004"/>
      <c r="D39" s="1004"/>
      <c r="E39" s="1004"/>
      <c r="F39" s="1004"/>
      <c r="G39" s="1004"/>
      <c r="H39" s="1004"/>
      <c r="I39" s="1004"/>
      <c r="J39"/>
    </row>
    <row r="40" spans="1:10" ht="39" thickTop="1" x14ac:dyDescent="0.2">
      <c r="C40" s="1005" t="s">
        <v>10</v>
      </c>
      <c r="D40" s="1006"/>
      <c r="E40" s="19" t="s">
        <v>15</v>
      </c>
      <c r="F40" s="19" t="s">
        <v>325</v>
      </c>
      <c r="G40" s="18" t="s">
        <v>13</v>
      </c>
      <c r="J40"/>
    </row>
    <row r="41" spans="1:10" ht="13.5" thickBot="1" x14ac:dyDescent="0.25">
      <c r="C41" s="1007"/>
      <c r="D41" s="1008"/>
      <c r="E41" s="17" t="s">
        <v>12</v>
      </c>
      <c r="F41" s="17" t="s">
        <v>4</v>
      </c>
      <c r="G41" s="16" t="s">
        <v>4</v>
      </c>
      <c r="J41"/>
    </row>
    <row r="42" spans="1:10" ht="13.5" thickTop="1" x14ac:dyDescent="0.2">
      <c r="C42" s="1009" t="s">
        <v>9</v>
      </c>
      <c r="D42" s="1010"/>
      <c r="E42" s="15">
        <f>H8+H20+H32</f>
        <v>2.1095550000000003</v>
      </c>
      <c r="F42" s="15">
        <f>SUM(J8,J20,J32)</f>
        <v>92.398509000000004</v>
      </c>
      <c r="G42" s="14">
        <f>E42*4.38</f>
        <v>9.2398509000000004</v>
      </c>
      <c r="J42"/>
    </row>
    <row r="43" spans="1:10" ht="14.25" x14ac:dyDescent="0.25">
      <c r="C43" s="1000" t="s">
        <v>8</v>
      </c>
      <c r="D43" s="1001"/>
      <c r="E43" s="15">
        <f>H9+H21+H33</f>
        <v>1.8806197499999999</v>
      </c>
      <c r="F43" s="15">
        <f>SUM(J9,J21,J33)</f>
        <v>82.371145049999996</v>
      </c>
      <c r="G43" s="14">
        <f>E43*4.38</f>
        <v>8.2371145049999992</v>
      </c>
      <c r="J43"/>
    </row>
    <row r="44" spans="1:10" ht="14.25" x14ac:dyDescent="0.25">
      <c r="C44" s="1002" t="s">
        <v>7</v>
      </c>
      <c r="D44" s="1003"/>
      <c r="E44" s="13">
        <f>H10+H22+H34</f>
        <v>1.0411905000000001</v>
      </c>
      <c r="F44" s="15">
        <f>SUM(J10,J22,J34)</f>
        <v>45.604143900000004</v>
      </c>
      <c r="G44" s="14">
        <f>E44*4.38</f>
        <v>4.56041439</v>
      </c>
      <c r="J44"/>
    </row>
    <row r="45" spans="1:10" ht="13.5" thickBot="1" x14ac:dyDescent="0.25">
      <c r="C45" s="1033" t="s">
        <v>6</v>
      </c>
      <c r="D45" s="1034"/>
      <c r="E45" s="12">
        <f>H11+H23</f>
        <v>2.065925</v>
      </c>
      <c r="F45" s="141">
        <f>SUM(J11,J23)</f>
        <v>9.0487514999999998</v>
      </c>
      <c r="G45" s="142">
        <f>E45*4.38</f>
        <v>9.0487514999999998</v>
      </c>
      <c r="J45"/>
    </row>
    <row r="46" spans="1:10" ht="13.5" thickTop="1" x14ac:dyDescent="0.2"/>
  </sheetData>
  <mergeCells count="25">
    <mergeCell ref="C45:D45"/>
    <mergeCell ref="C40:D41"/>
    <mergeCell ref="C42:D42"/>
    <mergeCell ref="E20:E23"/>
    <mergeCell ref="A29:I29"/>
    <mergeCell ref="H30:I30"/>
    <mergeCell ref="C44:D44"/>
    <mergeCell ref="A39:I39"/>
    <mergeCell ref="C43:D43"/>
    <mergeCell ref="E32:E34"/>
    <mergeCell ref="B18:D18"/>
    <mergeCell ref="H18:I18"/>
    <mergeCell ref="B30:D30"/>
    <mergeCell ref="B6:D6"/>
    <mergeCell ref="H6:I6"/>
    <mergeCell ref="E8:E11"/>
    <mergeCell ref="A13:J13"/>
    <mergeCell ref="A14:J14"/>
    <mergeCell ref="A25:J25"/>
    <mergeCell ref="A26:J26"/>
    <mergeCell ref="A1:I1"/>
    <mergeCell ref="A2:I2"/>
    <mergeCell ref="A3:I3"/>
    <mergeCell ref="A5:I5"/>
    <mergeCell ref="A17:I17"/>
  </mergeCells>
  <printOptions horizontalCentered="1"/>
  <pageMargins left="0.75" right="0.75" top="1" bottom="1" header="0.5" footer="0.5"/>
  <pageSetup scale="60" orientation="portrait" horizontalDpi="4294967293" verticalDpi="12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view="pageBreakPreview" zoomScaleNormal="100" workbookViewId="0">
      <selection activeCell="F9" sqref="F9"/>
    </sheetView>
  </sheetViews>
  <sheetFormatPr defaultRowHeight="12.75" x14ac:dyDescent="0.2"/>
  <cols>
    <col min="1" max="1" width="31" customWidth="1"/>
    <col min="2" max="8" width="12.7109375" customWidth="1"/>
    <col min="9" max="9" width="13.28515625" customWidth="1"/>
    <col min="10" max="10" width="13.5703125" customWidth="1"/>
    <col min="11" max="13" width="12.7109375" customWidth="1"/>
    <col min="16" max="16" width="28.85546875" hidden="1" customWidth="1"/>
    <col min="17" max="21" width="0" hidden="1" customWidth="1"/>
  </cols>
  <sheetData>
    <row r="1" spans="1:18" ht="18" x14ac:dyDescent="0.25">
      <c r="A1" s="983" t="s">
        <v>610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  <c r="N1" s="983"/>
    </row>
    <row r="3" spans="1:18" ht="13.5" thickBot="1" x14ac:dyDescent="0.25">
      <c r="A3" s="547" t="s">
        <v>459</v>
      </c>
      <c r="B3" s="548"/>
      <c r="C3" s="548"/>
      <c r="E3" s="547" t="s">
        <v>460</v>
      </c>
      <c r="F3" s="548"/>
      <c r="G3" s="548"/>
      <c r="H3" s="548"/>
      <c r="I3" s="548"/>
      <c r="J3" s="124"/>
      <c r="K3" s="124"/>
    </row>
    <row r="4" spans="1:18" ht="13.5" thickTop="1" x14ac:dyDescent="0.2">
      <c r="A4" s="9" t="s">
        <v>461</v>
      </c>
      <c r="B4" s="549">
        <f t="shared" ref="B4:B10" si="0">(P4*$Q$5)/2000</f>
        <v>9707.5064999999995</v>
      </c>
      <c r="C4" s="9" t="s">
        <v>462</v>
      </c>
      <c r="E4" s="9" t="s">
        <v>463</v>
      </c>
      <c r="H4" s="549">
        <f>26000/2000</f>
        <v>13</v>
      </c>
      <c r="I4" s="9" t="s">
        <v>462</v>
      </c>
      <c r="P4" s="549">
        <v>16882620</v>
      </c>
    </row>
    <row r="5" spans="1:18" x14ac:dyDescent="0.2">
      <c r="A5" s="9" t="s">
        <v>464</v>
      </c>
      <c r="B5" s="549">
        <f t="shared" si="0"/>
        <v>62521.8223</v>
      </c>
      <c r="C5" s="9" t="str">
        <f t="shared" ref="C5:C10" si="1">C4</f>
        <v>tons</v>
      </c>
      <c r="E5" s="9" t="s">
        <v>465</v>
      </c>
      <c r="H5" s="549">
        <f>80000/2000</f>
        <v>40</v>
      </c>
      <c r="I5" s="9" t="s">
        <v>462</v>
      </c>
      <c r="P5" s="549">
        <f>0.4*271834010</f>
        <v>108733604</v>
      </c>
      <c r="Q5">
        <v>1.1499999999999999</v>
      </c>
      <c r="R5" t="s">
        <v>466</v>
      </c>
    </row>
    <row r="6" spans="1:18" x14ac:dyDescent="0.2">
      <c r="A6" s="9" t="s">
        <v>467</v>
      </c>
      <c r="B6" s="549">
        <f t="shared" si="0"/>
        <v>135658.94845</v>
      </c>
      <c r="C6" s="9" t="str">
        <f t="shared" si="1"/>
        <v>tons</v>
      </c>
      <c r="E6" s="9" t="s">
        <v>468</v>
      </c>
      <c r="H6" s="549">
        <f>H5-H4</f>
        <v>27</v>
      </c>
      <c r="I6" s="9" t="s">
        <v>462</v>
      </c>
      <c r="P6" s="549">
        <f>(0.6*271834010)+50611380+22216820</f>
        <v>235928606</v>
      </c>
    </row>
    <row r="7" spans="1:18" x14ac:dyDescent="0.2">
      <c r="A7" s="9" t="s">
        <v>469</v>
      </c>
      <c r="B7" s="549">
        <f t="shared" si="0"/>
        <v>3577.9489999999996</v>
      </c>
      <c r="C7" s="9" t="str">
        <f t="shared" si="1"/>
        <v>tons</v>
      </c>
      <c r="E7" s="9" t="s">
        <v>470</v>
      </c>
      <c r="H7" s="550">
        <f>2500/2000</f>
        <v>1.25</v>
      </c>
      <c r="I7" s="9" t="s">
        <v>462</v>
      </c>
      <c r="P7" s="549">
        <v>6222520</v>
      </c>
    </row>
    <row r="8" spans="1:18" x14ac:dyDescent="0.2">
      <c r="A8" s="9" t="s">
        <v>471</v>
      </c>
      <c r="B8" s="549">
        <f t="shared" si="0"/>
        <v>16393.071980000001</v>
      </c>
      <c r="C8" s="9" t="str">
        <f t="shared" si="1"/>
        <v>tons</v>
      </c>
      <c r="P8" s="549">
        <f>0.4*71274226</f>
        <v>28509690.400000002</v>
      </c>
    </row>
    <row r="9" spans="1:18" x14ac:dyDescent="0.2">
      <c r="A9" s="9" t="s">
        <v>472</v>
      </c>
      <c r="B9" s="549">
        <f t="shared" si="0"/>
        <v>29296.68102</v>
      </c>
      <c r="C9" s="9" t="str">
        <f t="shared" si="1"/>
        <v>tons</v>
      </c>
      <c r="E9" s="9" t="s">
        <v>473</v>
      </c>
      <c r="G9">
        <v>10</v>
      </c>
      <c r="H9" s="9" t="s">
        <v>474</v>
      </c>
      <c r="P9" s="549">
        <f>(0.6*71274226)+8186214</f>
        <v>50950749.600000001</v>
      </c>
    </row>
    <row r="10" spans="1:18" x14ac:dyDescent="0.2">
      <c r="A10" s="9" t="s">
        <v>475</v>
      </c>
      <c r="B10" s="549">
        <f t="shared" si="0"/>
        <v>38740.196049999999</v>
      </c>
      <c r="C10" s="9" t="str">
        <f t="shared" si="1"/>
        <v>tons</v>
      </c>
      <c r="E10" s="9" t="s">
        <v>476</v>
      </c>
      <c r="G10">
        <v>110</v>
      </c>
      <c r="H10" s="9" t="s">
        <v>477</v>
      </c>
      <c r="P10" s="549">
        <f>51904326+15469928</f>
        <v>67374254</v>
      </c>
    </row>
    <row r="12" spans="1:18" ht="18" x14ac:dyDescent="0.25">
      <c r="A12" s="983" t="s">
        <v>606</v>
      </c>
      <c r="B12" s="983"/>
      <c r="C12" s="983"/>
      <c r="D12" s="983"/>
      <c r="E12" s="983"/>
      <c r="F12" s="983"/>
      <c r="G12" s="983"/>
      <c r="H12" s="983"/>
      <c r="I12" s="983"/>
      <c r="J12" s="983"/>
      <c r="K12" s="983"/>
      <c r="L12" s="983"/>
      <c r="M12" s="983"/>
      <c r="N12" s="983"/>
    </row>
    <row r="13" spans="1:18" ht="19.5" customHeight="1" thickBot="1" x14ac:dyDescent="0.3">
      <c r="A13" s="551" t="s">
        <v>478</v>
      </c>
      <c r="B13" s="551"/>
      <c r="C13" s="551"/>
      <c r="D13" s="552"/>
      <c r="E13" s="547" t="s">
        <v>479</v>
      </c>
      <c r="F13" s="548"/>
      <c r="G13" s="548"/>
      <c r="H13" s="553" t="s">
        <v>480</v>
      </c>
      <c r="I13" s="553" t="s">
        <v>481</v>
      </c>
      <c r="J13" s="553" t="s">
        <v>482</v>
      </c>
      <c r="K13" s="349"/>
      <c r="L13" s="349"/>
      <c r="M13" s="349"/>
      <c r="N13" s="349"/>
    </row>
    <row r="14" spans="1:18" ht="13.5" thickTop="1" x14ac:dyDescent="0.2">
      <c r="A14" s="9" t="s">
        <v>483</v>
      </c>
      <c r="B14">
        <v>1.0999999999999999E-2</v>
      </c>
      <c r="C14" s="9" t="s">
        <v>484</v>
      </c>
      <c r="E14" s="9" t="s">
        <v>485</v>
      </c>
      <c r="H14" s="554">
        <f>($B$14*($B$18^0.91)*(H5^1.02))*(1-($G$10/(4*365)))</f>
        <v>0.27516451498334088</v>
      </c>
      <c r="I14" s="554">
        <f>($B$15*($B$18^0.91)*(H5^1.02))*(1-($G$10/(4*365)))</f>
        <v>5.5032902996668187E-2</v>
      </c>
      <c r="J14" s="554">
        <f>($B$16*($B$18^0.91)*(H5^1.02))*(1-($G$10/(4*365)))</f>
        <v>1.3508076190091284E-2</v>
      </c>
      <c r="M14" s="549"/>
    </row>
    <row r="15" spans="1:18" ht="14.25" x14ac:dyDescent="0.25">
      <c r="A15" s="9" t="s">
        <v>486</v>
      </c>
      <c r="B15">
        <v>2.2000000000000001E-3</v>
      </c>
      <c r="C15" s="9" t="str">
        <f>C14</f>
        <v>lb/VMT</v>
      </c>
      <c r="E15" s="9" t="s">
        <v>487</v>
      </c>
      <c r="H15" s="554">
        <f>($B$14*($B$18^0.91)*(H4^1.02))*(1-($G$10/(4*365)))</f>
        <v>8.7440665652115987E-2</v>
      </c>
      <c r="I15" s="554">
        <f>($B$15*($B$18^0.91)*(H4^1.02))*(1-($G$10/(4*365)))</f>
        <v>1.7488133130423199E-2</v>
      </c>
      <c r="J15" s="554">
        <f>($B$16*($B$18^0.91)*(H4^1.02))*(1-($G$10/(4*365)))</f>
        <v>4.2925417683766041E-3</v>
      </c>
    </row>
    <row r="16" spans="1:18" ht="14.25" x14ac:dyDescent="0.25">
      <c r="A16" s="9" t="s">
        <v>488</v>
      </c>
      <c r="B16">
        <v>5.4000000000000001E-4</v>
      </c>
      <c r="C16" s="9" t="str">
        <f>C15</f>
        <v>lb/VMT</v>
      </c>
      <c r="E16" s="9" t="s">
        <v>489</v>
      </c>
      <c r="H16" s="554">
        <f>($B$14*($B$18^0.91)*(H6^1.02))*(1-($G$10/(4*365)))</f>
        <v>0.18428172766223536</v>
      </c>
      <c r="I16" s="554">
        <f>($B$15*($B$18^0.91)*(H6^1.02))*(1-($G$10/(4*365)))</f>
        <v>3.6856345532447071E-2</v>
      </c>
      <c r="J16" s="554">
        <f>($B$16*($B$18^0.91)*(H6^1.02))*(1-($G$10/(4*365)))</f>
        <v>9.0465575397824637E-3</v>
      </c>
    </row>
    <row r="17" spans="1:18" x14ac:dyDescent="0.2">
      <c r="A17" s="9"/>
      <c r="C17" s="9"/>
      <c r="E17" s="9" t="s">
        <v>490</v>
      </c>
      <c r="H17" s="554">
        <f>($B$14*($B$18^0.91)*(H7^1.02))*(1-($G$10/(4*365)))</f>
        <v>8.0230490806150381E-3</v>
      </c>
      <c r="I17" s="554">
        <f>($B$15*($B$18^0.91)*(H7^1.02))*(1-($G$10/(4*365)))</f>
        <v>1.6046098161230078E-3</v>
      </c>
      <c r="J17" s="554">
        <f>($B$16*($B$18^0.91)*(H7^1.02))*(1-($G$10/(4*365)))</f>
        <v>3.9385877304837469E-4</v>
      </c>
      <c r="K17" s="2"/>
      <c r="L17" s="2"/>
    </row>
    <row r="18" spans="1:18" ht="16.5" customHeight="1" x14ac:dyDescent="0.2">
      <c r="A18" s="9" t="s">
        <v>491</v>
      </c>
      <c r="B18">
        <v>0.6</v>
      </c>
      <c r="C18" s="9" t="s">
        <v>492</v>
      </c>
      <c r="G18" s="2"/>
      <c r="H18" s="2"/>
      <c r="I18" s="2"/>
      <c r="J18" s="2"/>
      <c r="K18" s="2"/>
      <c r="L18" s="2"/>
    </row>
    <row r="19" spans="1:18" ht="13.5" thickBot="1" x14ac:dyDescent="0.25">
      <c r="A19" s="9"/>
      <c r="C19" s="9"/>
      <c r="G19" s="45"/>
      <c r="H19" s="45"/>
      <c r="I19" s="45"/>
      <c r="J19" s="45"/>
      <c r="K19" s="45"/>
      <c r="L19" s="45"/>
      <c r="M19" s="45"/>
    </row>
    <row r="20" spans="1:18" ht="13.5" thickTop="1" x14ac:dyDescent="0.2">
      <c r="A20" s="1038" t="s">
        <v>493</v>
      </c>
      <c r="B20" s="1040" t="s">
        <v>494</v>
      </c>
      <c r="C20" s="1040" t="s">
        <v>495</v>
      </c>
      <c r="D20" s="555" t="s">
        <v>496</v>
      </c>
      <c r="E20" s="556"/>
      <c r="F20" s="989" t="s">
        <v>497</v>
      </c>
      <c r="G20" s="989"/>
      <c r="H20" s="989"/>
      <c r="I20" s="1016" t="s">
        <v>498</v>
      </c>
      <c r="J20" s="1017"/>
      <c r="K20" s="982"/>
      <c r="L20" s="989" t="s">
        <v>499</v>
      </c>
      <c r="M20" s="989"/>
      <c r="N20" s="1042"/>
    </row>
    <row r="21" spans="1:18" ht="15" thickBot="1" x14ac:dyDescent="0.3">
      <c r="A21" s="1039"/>
      <c r="B21" s="1043"/>
      <c r="C21" s="1041"/>
      <c r="D21" s="557" t="s">
        <v>500</v>
      </c>
      <c r="E21" s="40" t="s">
        <v>501</v>
      </c>
      <c r="F21" s="39" t="s">
        <v>9</v>
      </c>
      <c r="G21" s="39" t="s">
        <v>8</v>
      </c>
      <c r="H21" s="39" t="s">
        <v>7</v>
      </c>
      <c r="I21" s="39" t="s">
        <v>9</v>
      </c>
      <c r="J21" s="39" t="s">
        <v>8</v>
      </c>
      <c r="K21" s="39" t="s">
        <v>7</v>
      </c>
      <c r="L21" s="39" t="s">
        <v>9</v>
      </c>
      <c r="M21" s="39" t="s">
        <v>8</v>
      </c>
      <c r="N21" s="56" t="s">
        <v>7</v>
      </c>
      <c r="Q21" s="349"/>
      <c r="R21" s="349"/>
    </row>
    <row r="22" spans="1:18" ht="14.25" thickTop="1" thickBot="1" x14ac:dyDescent="0.25">
      <c r="A22" s="558" t="s">
        <v>502</v>
      </c>
      <c r="B22" s="559"/>
      <c r="C22" s="559"/>
      <c r="D22" s="559"/>
      <c r="E22" s="559"/>
      <c r="F22" s="559"/>
      <c r="G22" s="559"/>
      <c r="H22" s="559"/>
      <c r="I22" s="559"/>
      <c r="J22" s="559"/>
      <c r="K22" s="559"/>
      <c r="L22" s="559"/>
      <c r="M22" s="559"/>
      <c r="N22" s="560"/>
      <c r="O22" s="561"/>
      <c r="P22" s="561"/>
    </row>
    <row r="23" spans="1:18" ht="13.5" thickTop="1" x14ac:dyDescent="0.2">
      <c r="A23" s="562" t="s">
        <v>503</v>
      </c>
      <c r="B23" s="563" t="s">
        <v>504</v>
      </c>
      <c r="C23" s="564">
        <f>B4/H6</f>
        <v>359.53727777777777</v>
      </c>
      <c r="D23" s="565">
        <v>0.34</v>
      </c>
      <c r="E23" s="566">
        <f>C23*D23</f>
        <v>122.24267444444445</v>
      </c>
      <c r="F23" s="564">
        <f>H$14*E23</f>
        <v>33.636846223771997</v>
      </c>
      <c r="G23" s="567">
        <f t="shared" ref="G23:H25" si="2">I$14*$E23</f>
        <v>6.7273692447544002</v>
      </c>
      <c r="H23" s="567">
        <f t="shared" si="2"/>
        <v>1.6512633600760802</v>
      </c>
      <c r="I23" s="568">
        <f>(F23/365)/24</f>
        <v>3.8398226282844745E-3</v>
      </c>
      <c r="J23" s="568">
        <f t="shared" ref="I23:K25" si="3">(G23/365)/24</f>
        <v>7.6796452565689507E-4</v>
      </c>
      <c r="K23" s="568">
        <f>(H23/365)/24</f>
        <v>1.8850038357032879E-4</v>
      </c>
      <c r="L23" s="569">
        <f>F23/2000</f>
        <v>1.6818423111885999E-2</v>
      </c>
      <c r="M23" s="569">
        <f t="shared" ref="M23:N35" si="4">G23/2000</f>
        <v>3.3636846223772002E-3</v>
      </c>
      <c r="N23" s="570">
        <f t="shared" si="4"/>
        <v>8.2563168003804016E-4</v>
      </c>
    </row>
    <row r="24" spans="1:18" x14ac:dyDescent="0.2">
      <c r="A24" s="571" t="s">
        <v>505</v>
      </c>
      <c r="B24" s="572" t="s">
        <v>506</v>
      </c>
      <c r="C24" s="573">
        <f>B5/H6</f>
        <v>2315.623048148148</v>
      </c>
      <c r="D24" s="574">
        <v>0.21</v>
      </c>
      <c r="E24" s="575">
        <f>C24*D24</f>
        <v>486.28084011111105</v>
      </c>
      <c r="F24" s="573">
        <f>H$14*E24</f>
        <v>133.80723151486541</v>
      </c>
      <c r="G24" s="576">
        <f t="shared" si="2"/>
        <v>26.761446302973088</v>
      </c>
      <c r="H24" s="576">
        <f t="shared" si="2"/>
        <v>6.568718638002486</v>
      </c>
      <c r="I24" s="577">
        <f t="shared" si="3"/>
        <v>1.527479811813532E-2</v>
      </c>
      <c r="J24" s="577">
        <f t="shared" si="3"/>
        <v>3.0549596236270648E-3</v>
      </c>
      <c r="K24" s="577">
        <f t="shared" si="3"/>
        <v>7.4985372579937056E-4</v>
      </c>
      <c r="L24" s="467">
        <f t="shared" ref="L24:L35" si="5">F24/2000</f>
        <v>6.69036157574327E-2</v>
      </c>
      <c r="M24" s="467">
        <f t="shared" si="4"/>
        <v>1.3380723151486544E-2</v>
      </c>
      <c r="N24" s="578">
        <f t="shared" si="4"/>
        <v>3.2843593190012431E-3</v>
      </c>
    </row>
    <row r="25" spans="1:18" ht="13.5" thickBot="1" x14ac:dyDescent="0.25">
      <c r="A25" s="579" t="s">
        <v>507</v>
      </c>
      <c r="B25" s="580" t="s">
        <v>508</v>
      </c>
      <c r="C25" s="581">
        <f>B6/H6</f>
        <v>5024.4054981481477</v>
      </c>
      <c r="D25" s="582">
        <v>0.33</v>
      </c>
      <c r="E25" s="583">
        <f>C25*D25</f>
        <v>1658.0538143888889</v>
      </c>
      <c r="F25" s="581">
        <f>H$14*E25</f>
        <v>456.23757365259689</v>
      </c>
      <c r="G25" s="584">
        <f t="shared" si="2"/>
        <v>91.247514730519399</v>
      </c>
      <c r="H25" s="584">
        <f t="shared" si="2"/>
        <v>22.397117252036583</v>
      </c>
      <c r="I25" s="585">
        <f t="shared" si="3"/>
        <v>5.2081914800524758E-2</v>
      </c>
      <c r="J25" s="585">
        <f t="shared" si="3"/>
        <v>1.0416382960104954E-2</v>
      </c>
      <c r="K25" s="585">
        <f t="shared" si="3"/>
        <v>2.5567485447530345E-3</v>
      </c>
      <c r="L25" s="144">
        <f t="shared" si="5"/>
        <v>0.22811878682629844</v>
      </c>
      <c r="M25" s="144">
        <f t="shared" si="4"/>
        <v>4.5623757365259698E-2</v>
      </c>
      <c r="N25" s="586">
        <f t="shared" si="4"/>
        <v>1.1198558626018292E-2</v>
      </c>
    </row>
    <row r="26" spans="1:18" ht="14.25" thickTop="1" thickBot="1" x14ac:dyDescent="0.25">
      <c r="A26" s="558" t="s">
        <v>509</v>
      </c>
      <c r="B26" s="587"/>
      <c r="C26" s="559"/>
      <c r="D26" s="559"/>
      <c r="E26" s="559"/>
      <c r="F26" s="559"/>
      <c r="G26" s="559"/>
      <c r="H26" s="559"/>
      <c r="I26" s="588"/>
      <c r="J26" s="559"/>
      <c r="K26" s="559"/>
      <c r="L26" s="589"/>
      <c r="M26" s="589"/>
      <c r="N26" s="590"/>
      <c r="O26" s="561"/>
      <c r="P26" s="561"/>
    </row>
    <row r="27" spans="1:18" ht="13.5" thickTop="1" x14ac:dyDescent="0.2">
      <c r="A27" s="562" t="s">
        <v>503</v>
      </c>
      <c r="B27" s="563" t="s">
        <v>510</v>
      </c>
      <c r="C27" s="564">
        <f>B7/H6</f>
        <v>132.51662962962962</v>
      </c>
      <c r="D27" s="565">
        <f>0.14*2</f>
        <v>0.28000000000000003</v>
      </c>
      <c r="E27" s="566">
        <f>C27*D27</f>
        <v>37.104656296296298</v>
      </c>
      <c r="F27" s="564">
        <f>H$16*E27</f>
        <v>6.8377101665949205</v>
      </c>
      <c r="G27" s="567">
        <f t="shared" ref="G27:H30" si="6">I$16*$E27</f>
        <v>1.3675420333189841</v>
      </c>
      <c r="H27" s="567">
        <f t="shared" si="6"/>
        <v>0.33566940817829616</v>
      </c>
      <c r="I27" s="568">
        <f>(F27/365)/24</f>
        <v>7.8056052130078999E-4</v>
      </c>
      <c r="J27" s="568">
        <f t="shared" ref="I27:K30" si="7">(G27/365)/24</f>
        <v>1.5611210426015801E-4</v>
      </c>
      <c r="K27" s="568">
        <f t="shared" si="7"/>
        <v>3.8318425591129695E-5</v>
      </c>
      <c r="L27" s="569">
        <f t="shared" si="5"/>
        <v>3.4188550832974602E-3</v>
      </c>
      <c r="M27" s="569">
        <f t="shared" si="4"/>
        <v>6.8377101665949205E-4</v>
      </c>
      <c r="N27" s="570">
        <f t="shared" si="4"/>
        <v>1.6783470408914807E-4</v>
      </c>
    </row>
    <row r="28" spans="1:18" x14ac:dyDescent="0.2">
      <c r="A28" s="591" t="s">
        <v>505</v>
      </c>
      <c r="B28" s="592" t="s">
        <v>511</v>
      </c>
      <c r="C28" s="573">
        <f>B8/H6</f>
        <v>607.15081407407411</v>
      </c>
      <c r="D28" s="574">
        <f>0.13*2</f>
        <v>0.26</v>
      </c>
      <c r="E28" s="575">
        <f>C28*D28</f>
        <v>157.85921165925927</v>
      </c>
      <c r="F28" s="573">
        <f>H$16*E28</f>
        <v>29.090568251966786</v>
      </c>
      <c r="G28" s="576">
        <f t="shared" si="6"/>
        <v>5.8181136503933573</v>
      </c>
      <c r="H28" s="576">
        <f t="shared" si="6"/>
        <v>1.4280824414601878</v>
      </c>
      <c r="I28" s="577">
        <f t="shared" si="7"/>
        <v>3.3208411246537423E-3</v>
      </c>
      <c r="J28" s="577">
        <f t="shared" si="7"/>
        <v>6.6416822493074853E-4</v>
      </c>
      <c r="K28" s="577">
        <f t="shared" si="7"/>
        <v>1.630231097557292E-4</v>
      </c>
      <c r="L28" s="467">
        <f t="shared" si="5"/>
        <v>1.4545284125983392E-2</v>
      </c>
      <c r="M28" s="467">
        <f t="shared" si="4"/>
        <v>2.9090568251966785E-3</v>
      </c>
      <c r="N28" s="578">
        <f t="shared" si="4"/>
        <v>7.1404122073009393E-4</v>
      </c>
    </row>
    <row r="29" spans="1:18" x14ac:dyDescent="0.2">
      <c r="A29" s="571" t="s">
        <v>507</v>
      </c>
      <c r="B29" s="572" t="s">
        <v>510</v>
      </c>
      <c r="C29" s="573">
        <f>B9/H6</f>
        <v>1085.0622599999999</v>
      </c>
      <c r="D29" s="593">
        <f>0.14*2</f>
        <v>0.28000000000000003</v>
      </c>
      <c r="E29" s="575">
        <f>C29*D29</f>
        <v>303.81743280000001</v>
      </c>
      <c r="F29" s="573">
        <f>H$16*E29</f>
        <v>55.988001410289094</v>
      </c>
      <c r="G29" s="576">
        <f t="shared" si="6"/>
        <v>11.197600282057818</v>
      </c>
      <c r="H29" s="576">
        <f t="shared" si="6"/>
        <v>2.748501887414192</v>
      </c>
      <c r="I29" s="577">
        <f t="shared" si="7"/>
        <v>6.3913243619051477E-3</v>
      </c>
      <c r="J29" s="577">
        <f t="shared" si="7"/>
        <v>1.2782648723810295E-3</v>
      </c>
      <c r="K29" s="577">
        <f t="shared" si="7"/>
        <v>3.1375592322079818E-4</v>
      </c>
      <c r="L29" s="467">
        <f t="shared" si="5"/>
        <v>2.7994000705144548E-2</v>
      </c>
      <c r="M29" s="467">
        <f t="shared" si="4"/>
        <v>5.5988001410289092E-3</v>
      </c>
      <c r="N29" s="578">
        <f t="shared" si="4"/>
        <v>1.374250943707096E-3</v>
      </c>
    </row>
    <row r="30" spans="1:18" ht="13.5" thickBot="1" x14ac:dyDescent="0.25">
      <c r="A30" s="579" t="s">
        <v>512</v>
      </c>
      <c r="B30" s="580" t="s">
        <v>510</v>
      </c>
      <c r="C30" s="581">
        <f>B10/H6</f>
        <v>1434.8220759259259</v>
      </c>
      <c r="D30" s="582">
        <f>0.14*2</f>
        <v>0.28000000000000003</v>
      </c>
      <c r="E30" s="583">
        <f>C30*D30</f>
        <v>401.75018125925931</v>
      </c>
      <c r="F30" s="581">
        <f>H$16*E30</f>
        <v>74.035217491072515</v>
      </c>
      <c r="G30" s="584">
        <f t="shared" si="6"/>
        <v>14.807043498214503</v>
      </c>
      <c r="H30" s="584">
        <f t="shared" si="6"/>
        <v>3.634456131379924</v>
      </c>
      <c r="I30" s="585">
        <f t="shared" si="7"/>
        <v>8.4515088460128448E-3</v>
      </c>
      <c r="J30" s="585">
        <f t="shared" si="7"/>
        <v>1.6903017692025688E-3</v>
      </c>
      <c r="K30" s="585">
        <f t="shared" si="7"/>
        <v>4.1489225244063056E-4</v>
      </c>
      <c r="L30" s="144">
        <f t="shared" si="5"/>
        <v>3.7017608745536258E-2</v>
      </c>
      <c r="M30" s="144">
        <f t="shared" si="4"/>
        <v>7.4035217491072516E-3</v>
      </c>
      <c r="N30" s="586">
        <f t="shared" si="4"/>
        <v>1.8172280656899619E-3</v>
      </c>
    </row>
    <row r="31" spans="1:18" ht="14.25" thickTop="1" thickBot="1" x14ac:dyDescent="0.25">
      <c r="A31" s="558" t="s">
        <v>513</v>
      </c>
      <c r="B31" s="587"/>
      <c r="C31" s="559"/>
      <c r="D31" s="559"/>
      <c r="E31" s="559"/>
      <c r="F31" s="559"/>
      <c r="G31" s="559"/>
      <c r="H31" s="559"/>
      <c r="I31" s="588"/>
      <c r="J31" s="559"/>
      <c r="K31" s="559"/>
      <c r="L31" s="589"/>
      <c r="M31" s="589"/>
      <c r="N31" s="590"/>
      <c r="O31" s="561"/>
      <c r="P31" s="561"/>
    </row>
    <row r="32" spans="1:18" ht="14.25" thickTop="1" thickBot="1" x14ac:dyDescent="0.25">
      <c r="A32" s="594" t="s">
        <v>514</v>
      </c>
      <c r="B32" s="595" t="s">
        <v>515</v>
      </c>
      <c r="C32" s="596">
        <f>66*365</f>
        <v>24090</v>
      </c>
      <c r="D32" s="597">
        <f>0.11*2</f>
        <v>0.22</v>
      </c>
      <c r="E32" s="598">
        <f>D32*C32</f>
        <v>5299.8</v>
      </c>
      <c r="F32" s="596">
        <f>E32*H17</f>
        <v>42.520555517443583</v>
      </c>
      <c r="G32" s="599">
        <f>F32*I17</f>
        <v>6.8228900770293296E-2</v>
      </c>
      <c r="H32" s="599">
        <f>G32*J17</f>
        <v>2.6872551143827025E-5</v>
      </c>
      <c r="I32" s="600">
        <f>(F32/365)/24</f>
        <v>4.8539446937720986E-3</v>
      </c>
      <c r="J32" s="600">
        <f>(G32/365)/24</f>
        <v>7.7886873025448967E-6</v>
      </c>
      <c r="K32" s="600">
        <f>(H32/365)/24</f>
        <v>3.067642824637788E-9</v>
      </c>
      <c r="L32" s="601">
        <f t="shared" si="5"/>
        <v>2.1260277758721791E-2</v>
      </c>
      <c r="M32" s="601">
        <f t="shared" si="4"/>
        <v>3.411445038514665E-5</v>
      </c>
      <c r="N32" s="602">
        <f t="shared" si="4"/>
        <v>1.3436275571913513E-8</v>
      </c>
    </row>
    <row r="33" spans="1:14" ht="14.25" thickTop="1" thickBot="1" x14ac:dyDescent="0.25">
      <c r="A33" s="558" t="s">
        <v>516</v>
      </c>
      <c r="B33" s="587"/>
      <c r="C33" s="559"/>
      <c r="D33" s="559"/>
      <c r="E33" s="559"/>
      <c r="F33" s="559"/>
      <c r="G33" s="559"/>
      <c r="H33" s="559"/>
      <c r="I33" s="588"/>
      <c r="J33" s="559"/>
      <c r="K33" s="559"/>
      <c r="L33" s="589"/>
      <c r="M33" s="589"/>
      <c r="N33" s="590"/>
    </row>
    <row r="34" spans="1:14" ht="13.5" thickTop="1" x14ac:dyDescent="0.2">
      <c r="A34" s="562" t="s">
        <v>517</v>
      </c>
      <c r="B34" s="563" t="s">
        <v>508</v>
      </c>
      <c r="C34" s="564">
        <f>C23+C25</f>
        <v>5383.9427759259252</v>
      </c>
      <c r="D34" s="565">
        <v>0.33</v>
      </c>
      <c r="E34" s="566">
        <f>C34*D34</f>
        <v>1776.7011160555553</v>
      </c>
      <c r="F34" s="564">
        <f>E34*H$15</f>
        <v>155.35592825275512</v>
      </c>
      <c r="G34" s="567">
        <f>$E34*I$15</f>
        <v>31.07118565055103</v>
      </c>
      <c r="H34" s="567">
        <f>$E34*J$15</f>
        <v>7.6265637505897992</v>
      </c>
      <c r="I34" s="568">
        <f t="shared" ref="I34:K36" si="8">(F34/365)/24</f>
        <v>1.7734695006022275E-2</v>
      </c>
      <c r="J34" s="568">
        <f t="shared" si="8"/>
        <v>3.5469390012044556E-3</v>
      </c>
      <c r="K34" s="568">
        <f t="shared" si="8"/>
        <v>8.7061230029563915E-4</v>
      </c>
      <c r="L34" s="569">
        <f t="shared" si="5"/>
        <v>7.7677964126377563E-2</v>
      </c>
      <c r="M34" s="569">
        <f t="shared" si="4"/>
        <v>1.5535592825275515E-2</v>
      </c>
      <c r="N34" s="570">
        <f t="shared" si="4"/>
        <v>3.8132818752948995E-3</v>
      </c>
    </row>
    <row r="35" spans="1:14" ht="13.5" thickBot="1" x14ac:dyDescent="0.25">
      <c r="A35" s="579" t="s">
        <v>505</v>
      </c>
      <c r="B35" s="580" t="s">
        <v>506</v>
      </c>
      <c r="C35" s="581">
        <f>C24</f>
        <v>2315.623048148148</v>
      </c>
      <c r="D35" s="582">
        <v>0.21</v>
      </c>
      <c r="E35" s="583">
        <f>C35*D35</f>
        <v>486.28084011111105</v>
      </c>
      <c r="F35" s="581">
        <f>E35*H$15</f>
        <v>42.52072035318573</v>
      </c>
      <c r="G35" s="584">
        <f>$E35*I$15</f>
        <v>8.5041440706371478</v>
      </c>
      <c r="H35" s="584">
        <f>$E35*J$15</f>
        <v>2.0873808173382091</v>
      </c>
      <c r="I35" s="585">
        <f t="shared" si="8"/>
        <v>4.85396351063764E-3</v>
      </c>
      <c r="J35" s="585">
        <f t="shared" si="8"/>
        <v>9.7079270212752826E-4</v>
      </c>
      <c r="K35" s="585">
        <f t="shared" si="8"/>
        <v>2.3828548143130243E-4</v>
      </c>
      <c r="L35" s="144">
        <f t="shared" si="5"/>
        <v>2.1260360176592864E-2</v>
      </c>
      <c r="M35" s="144">
        <f t="shared" si="4"/>
        <v>4.2520720353185736E-3</v>
      </c>
      <c r="N35" s="586">
        <f t="shared" si="4"/>
        <v>1.0436904086691045E-3</v>
      </c>
    </row>
    <row r="36" spans="1:14" ht="14.25" thickTop="1" thickBot="1" x14ac:dyDescent="0.25">
      <c r="A36" s="603"/>
      <c r="B36" s="604"/>
      <c r="C36" s="604"/>
      <c r="D36" s="605" t="s">
        <v>0</v>
      </c>
      <c r="E36" s="606">
        <f>SUM(E22:E35)</f>
        <v>10729.890767125926</v>
      </c>
      <c r="F36" s="607">
        <f>SUM(F22:F35)</f>
        <v>1030.0303528345421</v>
      </c>
      <c r="G36" s="607">
        <f>SUM(G22:G35)</f>
        <v>197.57018836419005</v>
      </c>
      <c r="H36" s="607">
        <f>SUM(H22:H35)</f>
        <v>48.477780559026904</v>
      </c>
      <c r="I36" s="608">
        <f>(F36/365)/24</f>
        <v>0.1175833736112491</v>
      </c>
      <c r="J36" s="608">
        <f>(G36/365)/24</f>
        <v>2.2553674470797952E-2</v>
      </c>
      <c r="K36" s="609">
        <f t="shared" si="8"/>
        <v>5.5339932145007887E-3</v>
      </c>
      <c r="L36" s="608">
        <f>SUM(L22:L35)</f>
        <v>0.51501517641727101</v>
      </c>
      <c r="M36" s="608">
        <f>SUM(M22:M35)</f>
        <v>9.878509418209501E-2</v>
      </c>
      <c r="N36" s="610">
        <f>SUM(N22:N35)</f>
        <v>2.4238890279513453E-2</v>
      </c>
    </row>
    <row r="37" spans="1:14" ht="13.5" thickTop="1" x14ac:dyDescent="0.2">
      <c r="H37" s="611"/>
      <c r="I37" s="612"/>
      <c r="J37" s="612"/>
      <c r="K37" s="612"/>
      <c r="L37" s="612"/>
      <c r="M37" s="612"/>
      <c r="N37" s="612"/>
    </row>
    <row r="38" spans="1:14" ht="14.25" x14ac:dyDescent="0.2">
      <c r="A38" s="613" t="s">
        <v>518</v>
      </c>
    </row>
    <row r="39" spans="1:14" ht="14.25" x14ac:dyDescent="0.2">
      <c r="A39" s="613" t="s">
        <v>519</v>
      </c>
    </row>
    <row r="40" spans="1:14" ht="14.25" x14ac:dyDescent="0.2">
      <c r="A40" s="613" t="s">
        <v>520</v>
      </c>
    </row>
    <row r="41" spans="1:14" ht="14.25" x14ac:dyDescent="0.2">
      <c r="A41" s="613"/>
    </row>
    <row r="42" spans="1:14" ht="18" x14ac:dyDescent="0.25">
      <c r="A42" s="983" t="s">
        <v>607</v>
      </c>
      <c r="B42" s="983"/>
      <c r="C42" s="983"/>
      <c r="D42" s="983"/>
      <c r="E42" s="983"/>
      <c r="F42" s="983"/>
      <c r="G42" s="983"/>
      <c r="H42" s="983"/>
      <c r="I42" s="983"/>
      <c r="J42" s="983"/>
      <c r="K42" s="983"/>
      <c r="L42" s="983"/>
      <c r="M42" s="983"/>
      <c r="N42" s="983"/>
    </row>
    <row r="43" spans="1:14" ht="19.5" customHeight="1" thickBot="1" x14ac:dyDescent="0.3">
      <c r="A43" s="551" t="s">
        <v>521</v>
      </c>
      <c r="B43" s="551"/>
      <c r="C43" s="551"/>
      <c r="E43" s="547" t="s">
        <v>522</v>
      </c>
      <c r="F43" s="548"/>
      <c r="G43" s="548"/>
      <c r="H43" s="553" t="s">
        <v>9</v>
      </c>
      <c r="I43" s="553" t="s">
        <v>8</v>
      </c>
      <c r="J43" s="553" t="s">
        <v>7</v>
      </c>
    </row>
    <row r="44" spans="1:14" ht="13.5" thickTop="1" x14ac:dyDescent="0.2">
      <c r="A44" s="9" t="s">
        <v>483</v>
      </c>
      <c r="B44">
        <v>4.9000000000000004</v>
      </c>
      <c r="C44" s="9" t="s">
        <v>484</v>
      </c>
      <c r="E44" s="9" t="s">
        <v>487</v>
      </c>
      <c r="H44" s="2">
        <f>($B$44*(($B$51/12)^$B$48)*((H4/3)^B50))*((365-G10)/365)</f>
        <v>3.2286010717220912</v>
      </c>
      <c r="I44" s="2">
        <f>($B$45*(($B$51/12)^$B$49)*((H4/3)^B50))*((365-G10)/365)</f>
        <v>0.80494648362815124</v>
      </c>
      <c r="J44" s="2">
        <f>($B$46*(($B$51/12)^$B$49)*((H4/3)^B50))*((365-G10)/365)</f>
        <v>8.0494648362815113E-2</v>
      </c>
    </row>
    <row r="45" spans="1:14" ht="14.25" x14ac:dyDescent="0.25">
      <c r="A45" s="9" t="s">
        <v>486</v>
      </c>
      <c r="B45">
        <v>1.5</v>
      </c>
      <c r="C45" s="9" t="str">
        <f>C44</f>
        <v>lb/VMT</v>
      </c>
      <c r="M45" s="45"/>
    </row>
    <row r="46" spans="1:14" ht="14.25" x14ac:dyDescent="0.25">
      <c r="A46" s="9" t="s">
        <v>488</v>
      </c>
      <c r="B46">
        <v>0.15</v>
      </c>
      <c r="C46" s="9" t="str">
        <f>C45</f>
        <v>lb/VMT</v>
      </c>
      <c r="E46" s="9" t="s">
        <v>476</v>
      </c>
      <c r="G46">
        <f>G10</f>
        <v>110</v>
      </c>
      <c r="H46" s="9" t="s">
        <v>477</v>
      </c>
      <c r="I46" s="45"/>
    </row>
    <row r="47" spans="1:14" x14ac:dyDescent="0.2">
      <c r="A47" s="9"/>
      <c r="C47" s="9"/>
      <c r="E47" s="9"/>
      <c r="G47" s="2"/>
      <c r="H47" s="2"/>
      <c r="I47" s="2"/>
      <c r="J47" s="2"/>
      <c r="K47" s="2"/>
      <c r="L47" s="2"/>
      <c r="M47" s="45"/>
    </row>
    <row r="48" spans="1:14" x14ac:dyDescent="0.2">
      <c r="A48" s="9" t="s">
        <v>523</v>
      </c>
      <c r="B48">
        <v>0.7</v>
      </c>
      <c r="C48" s="9"/>
      <c r="E48" s="9"/>
      <c r="G48" s="2"/>
      <c r="H48" s="2"/>
      <c r="I48" s="2"/>
      <c r="J48" s="2"/>
      <c r="K48" s="2"/>
      <c r="L48" s="2"/>
      <c r="M48" s="45"/>
    </row>
    <row r="49" spans="1:13" ht="14.25" x14ac:dyDescent="0.25">
      <c r="A49" s="9" t="s">
        <v>524</v>
      </c>
      <c r="B49">
        <v>0.9</v>
      </c>
      <c r="C49" s="9"/>
      <c r="E49" s="9"/>
      <c r="G49" s="2"/>
      <c r="H49" s="2"/>
      <c r="I49" s="2"/>
      <c r="J49" s="2"/>
      <c r="K49" s="2"/>
      <c r="L49" s="2"/>
      <c r="M49" s="45"/>
    </row>
    <row r="50" spans="1:13" ht="14.25" x14ac:dyDescent="0.25">
      <c r="A50" s="9" t="s">
        <v>525</v>
      </c>
      <c r="B50">
        <v>0.45</v>
      </c>
      <c r="C50" s="9"/>
      <c r="E50" s="9"/>
      <c r="G50" s="2"/>
      <c r="H50" s="2"/>
      <c r="I50" s="2"/>
      <c r="J50" s="2"/>
      <c r="K50" s="2"/>
      <c r="L50" s="2"/>
      <c r="M50" s="45"/>
    </row>
    <row r="51" spans="1:13" ht="14.25" x14ac:dyDescent="0.2">
      <c r="A51" s="9" t="s">
        <v>526</v>
      </c>
      <c r="B51">
        <v>4.3</v>
      </c>
      <c r="C51" s="9" t="s">
        <v>225</v>
      </c>
      <c r="G51" s="2"/>
      <c r="H51" s="2"/>
      <c r="I51" s="2"/>
      <c r="J51" s="2"/>
      <c r="K51" s="2"/>
      <c r="L51" s="2"/>
      <c r="M51" s="45"/>
    </row>
    <row r="52" spans="1:13" ht="13.5" thickBo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1:13" ht="13.5" thickTop="1" x14ac:dyDescent="0.2">
      <c r="A53" s="1038" t="s">
        <v>493</v>
      </c>
      <c r="B53" s="1040" t="s">
        <v>495</v>
      </c>
      <c r="C53" s="555" t="s">
        <v>496</v>
      </c>
      <c r="D53" s="556"/>
      <c r="E53" s="989" t="s">
        <v>497</v>
      </c>
      <c r="F53" s="989"/>
      <c r="G53" s="989"/>
      <c r="H53" s="1016" t="str">
        <f>I20</f>
        <v>lbs/hr (average)</v>
      </c>
      <c r="I53" s="1017"/>
      <c r="J53" s="982"/>
      <c r="K53" s="989" t="s">
        <v>499</v>
      </c>
      <c r="L53" s="989"/>
      <c r="M53" s="1042"/>
    </row>
    <row r="54" spans="1:13" ht="15" thickBot="1" x14ac:dyDescent="0.3">
      <c r="A54" s="1039"/>
      <c r="B54" s="1041"/>
      <c r="C54" s="557" t="s">
        <v>500</v>
      </c>
      <c r="D54" s="40" t="s">
        <v>501</v>
      </c>
      <c r="E54" s="39" t="s">
        <v>9</v>
      </c>
      <c r="F54" s="39" t="s">
        <v>8</v>
      </c>
      <c r="G54" s="39" t="s">
        <v>7</v>
      </c>
      <c r="H54" s="39" t="s">
        <v>9</v>
      </c>
      <c r="I54" s="39" t="s">
        <v>8</v>
      </c>
      <c r="J54" s="39" t="s">
        <v>7</v>
      </c>
      <c r="K54" s="39" t="s">
        <v>9</v>
      </c>
      <c r="L54" s="39" t="s">
        <v>8</v>
      </c>
      <c r="M54" s="56" t="s">
        <v>7</v>
      </c>
    </row>
    <row r="55" spans="1:13" ht="13.5" thickTop="1" x14ac:dyDescent="0.2">
      <c r="A55" s="1035" t="s">
        <v>527</v>
      </c>
      <c r="B55" s="1036"/>
      <c r="C55" s="1036"/>
      <c r="D55" s="1036"/>
      <c r="E55" s="1036"/>
      <c r="F55" s="1036"/>
      <c r="G55" s="1036"/>
      <c r="H55" s="1036"/>
      <c r="I55" s="1036"/>
      <c r="J55" s="1036"/>
      <c r="K55" s="1036"/>
      <c r="L55" s="1036"/>
      <c r="M55" s="1037"/>
    </row>
    <row r="56" spans="1:13" x14ac:dyDescent="0.2">
      <c r="A56" s="571" t="s">
        <v>517</v>
      </c>
      <c r="B56" s="573">
        <f>C34</f>
        <v>5383.9427759259252</v>
      </c>
      <c r="C56" s="593">
        <v>0.02</v>
      </c>
      <c r="D56" s="575">
        <f>B56*C56</f>
        <v>107.6788555185185</v>
      </c>
      <c r="E56" s="573">
        <f>D56*H$44</f>
        <v>347.65206832889703</v>
      </c>
      <c r="F56" s="573">
        <f>D56*I$44</f>
        <v>86.675716110735223</v>
      </c>
      <c r="G56" s="573">
        <f>D56*J$44</f>
        <v>8.6675716110735213</v>
      </c>
      <c r="H56" s="467">
        <f>(E56/365)/24</f>
        <v>3.9686309169965413E-2</v>
      </c>
      <c r="I56" s="467">
        <f t="shared" ref="H56:J58" si="9">(F56/365)/24</f>
        <v>9.8944881404948882E-3</v>
      </c>
      <c r="J56" s="467">
        <f>(G56/365)/24</f>
        <v>9.894488140494886E-4</v>
      </c>
      <c r="K56" s="467">
        <f t="shared" ref="K56:L57" si="10">E56/2000</f>
        <v>0.17382603416444853</v>
      </c>
      <c r="L56" s="467">
        <f t="shared" si="10"/>
        <v>4.3337858055367613E-2</v>
      </c>
      <c r="M56" s="578">
        <f>G56/2000</f>
        <v>4.3337858055367603E-3</v>
      </c>
    </row>
    <row r="57" spans="1:13" ht="13.5" thickBot="1" x14ac:dyDescent="0.25">
      <c r="A57" s="579" t="s">
        <v>505</v>
      </c>
      <c r="B57" s="581">
        <f>C35</f>
        <v>2315.623048148148</v>
      </c>
      <c r="C57" s="582">
        <v>0.02</v>
      </c>
      <c r="D57" s="583">
        <f>B57*C57</f>
        <v>46.312460962962959</v>
      </c>
      <c r="E57" s="581">
        <f>D57*H$44</f>
        <v>149.52446109910971</v>
      </c>
      <c r="F57" s="581">
        <f>D57*I$44</f>
        <v>37.279052600303054</v>
      </c>
      <c r="G57" s="581">
        <f>D57*J$44</f>
        <v>3.7279052600303051</v>
      </c>
      <c r="H57" s="144">
        <f t="shared" si="9"/>
        <v>1.7069002408574167E-2</v>
      </c>
      <c r="I57" s="144">
        <f t="shared" si="9"/>
        <v>4.2555996119067411E-3</v>
      </c>
      <c r="J57" s="144">
        <f t="shared" si="9"/>
        <v>4.2555996119067414E-4</v>
      </c>
      <c r="K57" s="144">
        <f t="shared" si="10"/>
        <v>7.4762230549554859E-2</v>
      </c>
      <c r="L57" s="144">
        <f t="shared" si="10"/>
        <v>1.8639526300151525E-2</v>
      </c>
      <c r="M57" s="586">
        <f>G57/2000</f>
        <v>1.8639526300151526E-3</v>
      </c>
    </row>
    <row r="58" spans="1:13" ht="14.25" thickTop="1" thickBot="1" x14ac:dyDescent="0.25">
      <c r="A58" s="603"/>
      <c r="B58" s="604"/>
      <c r="C58" s="605" t="s">
        <v>0</v>
      </c>
      <c r="D58" s="614">
        <f t="shared" ref="D58:L58" si="11">SUM(D55:D57)</f>
        <v>153.99131648148148</v>
      </c>
      <c r="E58" s="607">
        <f>SUM(E55:E57)</f>
        <v>497.17652942800675</v>
      </c>
      <c r="F58" s="607">
        <f t="shared" si="11"/>
        <v>123.95476871103827</v>
      </c>
      <c r="G58" s="607">
        <f t="shared" si="11"/>
        <v>12.395476871103826</v>
      </c>
      <c r="H58" s="608">
        <f>(E58/365)/24</f>
        <v>5.675531157853958E-2</v>
      </c>
      <c r="I58" s="608">
        <f t="shared" si="9"/>
        <v>1.4150087752401628E-2</v>
      </c>
      <c r="J58" s="609">
        <f>(G58/365)/24</f>
        <v>1.4150087752401628E-3</v>
      </c>
      <c r="K58" s="608">
        <f t="shared" si="11"/>
        <v>0.24858826471400339</v>
      </c>
      <c r="L58" s="608">
        <f t="shared" si="11"/>
        <v>6.1977384355519138E-2</v>
      </c>
      <c r="M58" s="610">
        <f>SUM(M55:M57)</f>
        <v>6.1977384355519126E-3</v>
      </c>
    </row>
    <row r="59" spans="1:13" ht="13.5" thickTop="1" x14ac:dyDescent="0.2">
      <c r="G59" s="611"/>
      <c r="H59" s="612"/>
      <c r="I59" s="612"/>
      <c r="J59" s="612"/>
      <c r="K59" s="612"/>
      <c r="L59" s="612"/>
      <c r="M59" s="612"/>
    </row>
    <row r="60" spans="1:13" ht="14.25" x14ac:dyDescent="0.2">
      <c r="A60" s="613" t="s">
        <v>528</v>
      </c>
    </row>
    <row r="61" spans="1:13" ht="14.25" x14ac:dyDescent="0.2">
      <c r="A61" s="613" t="s">
        <v>529</v>
      </c>
    </row>
    <row r="62" spans="1:13" ht="14.25" x14ac:dyDescent="0.2">
      <c r="A62" s="613" t="s">
        <v>580</v>
      </c>
    </row>
  </sheetData>
  <dataConsolidate/>
  <mergeCells count="15">
    <mergeCell ref="A1:N1"/>
    <mergeCell ref="A12:N12"/>
    <mergeCell ref="A20:A21"/>
    <mergeCell ref="B20:B21"/>
    <mergeCell ref="C20:C21"/>
    <mergeCell ref="F20:H20"/>
    <mergeCell ref="I20:K20"/>
    <mergeCell ref="L20:N20"/>
    <mergeCell ref="A55:M55"/>
    <mergeCell ref="A42:N42"/>
    <mergeCell ref="A53:A54"/>
    <mergeCell ref="B53:B54"/>
    <mergeCell ref="E53:G53"/>
    <mergeCell ref="H53:J53"/>
    <mergeCell ref="K53:M53"/>
  </mergeCells>
  <printOptions horizontalCentered="1"/>
  <pageMargins left="0.75" right="0.75" top="1" bottom="1" header="0.5" footer="0.5"/>
  <pageSetup scale="63" fitToHeight="2" orientation="landscape" r:id="rId1"/>
  <headerFooter alignWithMargins="0"/>
  <rowBreaks count="1" manualBreakCount="1">
    <brk id="41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126"/>
  <sheetViews>
    <sheetView view="pageBreakPreview" zoomScale="70" zoomScaleNormal="100" zoomScaleSheetLayoutView="70" zoomScalePageLayoutView="70" workbookViewId="0">
      <selection activeCell="BF25" sqref="BF25"/>
    </sheetView>
  </sheetViews>
  <sheetFormatPr defaultRowHeight="12.75" x14ac:dyDescent="0.2"/>
  <cols>
    <col min="1" max="1" width="23.28515625" style="298" customWidth="1"/>
    <col min="2" max="2" width="10.42578125" style="519" customWidth="1"/>
    <col min="3" max="14" width="9" style="519" customWidth="1"/>
    <col min="15" max="15" width="23.28515625" style="298" customWidth="1"/>
    <col min="16" max="16" width="10.42578125" style="519" customWidth="1"/>
    <col min="17" max="28" width="9" style="519" customWidth="1"/>
    <col min="29" max="29" width="23.28515625" style="298" customWidth="1"/>
    <col min="30" max="30" width="10.42578125" style="519" customWidth="1"/>
    <col min="31" max="42" width="9" style="519" customWidth="1"/>
    <col min="43" max="43" width="23.28515625" style="298" customWidth="1"/>
    <col min="44" max="44" width="10.42578125" style="519" customWidth="1"/>
    <col min="45" max="56" width="9" style="519" customWidth="1"/>
    <col min="57" max="57" width="23.28515625" style="298" customWidth="1"/>
    <col min="58" max="58" width="10.42578125" style="519" customWidth="1"/>
    <col min="59" max="70" width="9" style="519" customWidth="1"/>
    <col min="71" max="71" width="23.28515625" style="298" customWidth="1"/>
    <col min="72" max="72" width="10.42578125" style="519" customWidth="1"/>
    <col min="73" max="84" width="9" style="519" customWidth="1"/>
    <col min="85" max="85" width="23.28515625" style="298" customWidth="1"/>
    <col min="86" max="86" width="10.42578125" style="519" customWidth="1"/>
    <col min="87" max="98" width="9" style="519" customWidth="1"/>
    <col min="99" max="99" width="23.28515625" style="298" customWidth="1"/>
    <col min="100" max="100" width="10.42578125" style="519" customWidth="1"/>
    <col min="101" max="112" width="9" style="519" customWidth="1"/>
    <col min="113" max="113" width="23.28515625" style="298" customWidth="1"/>
    <col min="114" max="114" width="10.42578125" style="519" customWidth="1"/>
    <col min="115" max="126" width="9" style="519" customWidth="1"/>
    <col min="127" max="127" width="23.28515625" style="298" customWidth="1"/>
    <col min="128" max="128" width="10.42578125" style="519" customWidth="1"/>
    <col min="129" max="140" width="9" style="519" customWidth="1"/>
    <col min="141" max="141" width="23.28515625" style="298" customWidth="1"/>
    <col min="142" max="142" width="10.42578125" style="519" customWidth="1"/>
    <col min="143" max="154" width="9" style="519" customWidth="1"/>
    <col min="155" max="155" width="23.28515625" style="298" customWidth="1"/>
    <col min="156" max="156" width="10.42578125" style="519" customWidth="1"/>
    <col min="157" max="168" width="9" style="519" customWidth="1"/>
    <col min="169" max="169" width="23.28515625" style="298" customWidth="1"/>
    <col min="170" max="170" width="10.42578125" style="519" customWidth="1"/>
    <col min="171" max="182" width="9" style="519" customWidth="1"/>
    <col min="183" max="16384" width="9.140625" style="298"/>
  </cols>
  <sheetData>
    <row r="1" spans="1:182" ht="18" x14ac:dyDescent="0.25">
      <c r="A1" s="476"/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6"/>
      <c r="AP1" s="476"/>
      <c r="AQ1" s="476"/>
      <c r="AR1" s="476"/>
      <c r="AS1" s="476"/>
      <c r="AT1" s="476"/>
      <c r="AU1" s="476"/>
      <c r="AV1" s="476"/>
      <c r="AW1" s="476"/>
      <c r="AX1" s="476"/>
      <c r="AY1" s="476"/>
      <c r="AZ1" s="476"/>
      <c r="BA1" s="476"/>
      <c r="BB1" s="476"/>
      <c r="BC1" s="476"/>
      <c r="BD1" s="476"/>
      <c r="BE1" s="476"/>
      <c r="BF1" s="476"/>
      <c r="BG1" s="476"/>
      <c r="BH1" s="476"/>
      <c r="BI1" s="476"/>
      <c r="BJ1" s="476"/>
      <c r="BK1" s="476"/>
      <c r="BL1" s="476"/>
      <c r="BM1" s="476"/>
      <c r="BN1" s="476"/>
      <c r="BO1" s="476"/>
      <c r="BP1" s="476"/>
      <c r="BQ1" s="476"/>
      <c r="BR1" s="476"/>
      <c r="BS1" s="476"/>
      <c r="BT1" s="476"/>
      <c r="BU1" s="476"/>
      <c r="BV1" s="476"/>
      <c r="BW1" s="476"/>
      <c r="BX1" s="476"/>
      <c r="BY1" s="476"/>
      <c r="BZ1" s="476"/>
      <c r="CA1" s="476"/>
      <c r="CB1" s="476"/>
      <c r="CC1" s="476"/>
      <c r="CD1" s="476"/>
      <c r="CE1" s="476"/>
      <c r="CF1" s="476"/>
      <c r="CG1" s="476"/>
      <c r="CH1" s="476"/>
      <c r="CI1" s="476"/>
      <c r="CJ1" s="476"/>
      <c r="CK1" s="476"/>
      <c r="CL1" s="476"/>
      <c r="CM1" s="476"/>
      <c r="CN1" s="476"/>
      <c r="CO1" s="476"/>
      <c r="CP1" s="476"/>
      <c r="CQ1" s="476"/>
      <c r="CR1" s="476"/>
      <c r="CS1" s="476"/>
      <c r="CT1" s="476"/>
      <c r="CU1" s="476"/>
      <c r="CV1" s="476"/>
      <c r="CW1" s="476"/>
      <c r="CX1" s="476"/>
      <c r="CY1" s="476"/>
      <c r="CZ1" s="476"/>
      <c r="DA1" s="476"/>
      <c r="DB1" s="476"/>
      <c r="DC1" s="476"/>
      <c r="DD1" s="476"/>
      <c r="DE1" s="476"/>
      <c r="DF1" s="476"/>
      <c r="DG1" s="476"/>
      <c r="DH1" s="476"/>
      <c r="DI1" s="476"/>
      <c r="DJ1" s="476"/>
      <c r="DK1" s="476"/>
      <c r="DL1" s="476"/>
      <c r="DM1" s="476"/>
      <c r="DN1" s="476"/>
      <c r="DO1" s="476"/>
      <c r="DP1" s="476"/>
      <c r="DQ1" s="476"/>
      <c r="DR1" s="476"/>
      <c r="DS1" s="476"/>
      <c r="DT1" s="476"/>
      <c r="DU1" s="476"/>
      <c r="DV1" s="476"/>
      <c r="DW1" s="476"/>
      <c r="DX1" s="476"/>
      <c r="DY1" s="476"/>
      <c r="DZ1" s="476"/>
      <c r="EA1" s="476"/>
      <c r="EB1" s="476"/>
      <c r="EC1" s="476"/>
      <c r="ED1" s="476"/>
      <c r="EE1" s="476"/>
      <c r="EF1" s="476"/>
      <c r="EG1" s="476"/>
      <c r="EH1" s="476"/>
      <c r="EI1" s="476"/>
      <c r="EJ1" s="476"/>
      <c r="EK1" s="476"/>
      <c r="EL1" s="476"/>
      <c r="EM1" s="476"/>
      <c r="EN1" s="476"/>
      <c r="EO1" s="476"/>
      <c r="EP1" s="476"/>
      <c r="EQ1" s="476"/>
      <c r="ER1" s="476"/>
      <c r="ES1" s="476"/>
      <c r="ET1" s="476"/>
      <c r="EU1" s="476"/>
      <c r="EV1" s="476"/>
      <c r="EW1" s="476"/>
      <c r="EX1" s="476"/>
      <c r="EY1" s="476"/>
      <c r="EZ1" s="476"/>
      <c r="FA1" s="476"/>
      <c r="FB1" s="476"/>
      <c r="FC1" s="476"/>
      <c r="FD1" s="476"/>
      <c r="FE1" s="476"/>
      <c r="FF1" s="476"/>
      <c r="FG1" s="476"/>
      <c r="FH1" s="476"/>
      <c r="FI1" s="476"/>
      <c r="FJ1" s="476"/>
      <c r="FK1" s="476"/>
      <c r="FL1" s="476"/>
      <c r="FM1" s="476"/>
      <c r="FN1" s="476"/>
      <c r="FO1" s="476"/>
      <c r="FP1" s="476"/>
      <c r="FQ1" s="476"/>
      <c r="FR1" s="476"/>
      <c r="FS1" s="476"/>
      <c r="FT1" s="476"/>
      <c r="FU1" s="476"/>
      <c r="FV1" s="476"/>
      <c r="FW1" s="476"/>
      <c r="FX1" s="476"/>
      <c r="FY1" s="476"/>
      <c r="FZ1" s="476"/>
    </row>
    <row r="2" spans="1:182" ht="15.75" x14ac:dyDescent="0.25">
      <c r="A2" s="477"/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  <c r="AN2" s="477"/>
      <c r="AO2" s="477"/>
      <c r="AP2" s="477"/>
      <c r="AQ2" s="477"/>
      <c r="AR2" s="477"/>
      <c r="AS2" s="477"/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7"/>
      <c r="BE2" s="477"/>
      <c r="BF2" s="477"/>
      <c r="BG2" s="477"/>
      <c r="BH2" s="477"/>
      <c r="BI2" s="477"/>
      <c r="BJ2" s="477"/>
      <c r="BK2" s="477"/>
      <c r="BL2" s="477"/>
      <c r="BM2" s="477"/>
      <c r="BN2" s="477"/>
      <c r="BO2" s="477"/>
      <c r="BP2" s="477"/>
      <c r="BQ2" s="477"/>
      <c r="BR2" s="477"/>
      <c r="BS2" s="477"/>
      <c r="BT2" s="477"/>
      <c r="BU2" s="477"/>
      <c r="BV2" s="477"/>
      <c r="BW2" s="477"/>
      <c r="BX2" s="477"/>
      <c r="BY2" s="477"/>
      <c r="BZ2" s="477"/>
      <c r="CA2" s="477"/>
      <c r="CB2" s="477"/>
      <c r="CC2" s="477"/>
      <c r="CD2" s="477"/>
      <c r="CE2" s="477"/>
      <c r="CF2" s="477"/>
      <c r="CG2" s="477"/>
      <c r="CH2" s="477"/>
      <c r="CI2" s="477"/>
      <c r="CJ2" s="477"/>
      <c r="CK2" s="477"/>
      <c r="CL2" s="477"/>
      <c r="CM2" s="477"/>
      <c r="CN2" s="477"/>
      <c r="CO2" s="477"/>
      <c r="CP2" s="477"/>
      <c r="CQ2" s="477"/>
      <c r="CR2" s="477"/>
      <c r="CS2" s="477"/>
      <c r="CT2" s="477"/>
      <c r="CU2" s="477"/>
      <c r="CV2" s="477"/>
      <c r="CW2" s="477"/>
      <c r="CX2" s="477"/>
      <c r="CY2" s="477"/>
      <c r="CZ2" s="477"/>
      <c r="DA2" s="477"/>
      <c r="DB2" s="477"/>
      <c r="DC2" s="477"/>
      <c r="DD2" s="477"/>
      <c r="DE2" s="477"/>
      <c r="DF2" s="477"/>
      <c r="DG2" s="477"/>
      <c r="DH2" s="477"/>
      <c r="DI2" s="477"/>
      <c r="DJ2" s="477"/>
      <c r="DK2" s="477"/>
      <c r="DL2" s="477"/>
      <c r="DM2" s="477"/>
      <c r="DN2" s="477"/>
      <c r="DO2" s="477"/>
      <c r="DP2" s="477"/>
      <c r="DQ2" s="477"/>
      <c r="DR2" s="477"/>
      <c r="DS2" s="477"/>
      <c r="DT2" s="477"/>
      <c r="DU2" s="477"/>
      <c r="DV2" s="477"/>
      <c r="DW2" s="477"/>
      <c r="DX2" s="477"/>
      <c r="DY2" s="477"/>
      <c r="DZ2" s="477"/>
      <c r="EA2" s="477"/>
      <c r="EB2" s="477"/>
      <c r="EC2" s="477"/>
      <c r="ED2" s="477"/>
      <c r="EE2" s="477"/>
      <c r="EF2" s="477"/>
      <c r="EG2" s="477"/>
      <c r="EH2" s="477"/>
      <c r="EI2" s="477"/>
      <c r="EJ2" s="477"/>
      <c r="EK2" s="477"/>
      <c r="EL2" s="477"/>
      <c r="EM2" s="477"/>
      <c r="EN2" s="477"/>
      <c r="EO2" s="477"/>
      <c r="EP2" s="477"/>
      <c r="EQ2" s="477"/>
      <c r="ER2" s="477"/>
      <c r="ES2" s="477"/>
      <c r="ET2" s="477"/>
      <c r="EU2" s="477"/>
      <c r="EV2" s="477"/>
      <c r="EW2" s="477"/>
      <c r="EX2" s="477"/>
      <c r="EY2" s="477"/>
      <c r="EZ2" s="477"/>
      <c r="FA2" s="477"/>
      <c r="FB2" s="477"/>
      <c r="FC2" s="477"/>
      <c r="FD2" s="477"/>
      <c r="FE2" s="477"/>
      <c r="FF2" s="477"/>
      <c r="FG2" s="477"/>
      <c r="FH2" s="477"/>
      <c r="FI2" s="477"/>
      <c r="FJ2" s="477"/>
      <c r="FK2" s="477"/>
      <c r="FL2" s="477"/>
      <c r="FM2" s="477"/>
      <c r="FN2" s="477"/>
      <c r="FO2" s="477"/>
      <c r="FP2" s="477"/>
      <c r="FQ2" s="477"/>
      <c r="FR2" s="477"/>
      <c r="FS2" s="477"/>
      <c r="FT2" s="477"/>
      <c r="FU2" s="477"/>
      <c r="FV2" s="477"/>
      <c r="FW2" s="477"/>
      <c r="FX2" s="477"/>
      <c r="FY2" s="477"/>
      <c r="FZ2" s="477"/>
    </row>
    <row r="3" spans="1:182" ht="15.75" x14ac:dyDescent="0.25">
      <c r="A3" s="477"/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  <c r="X3" s="477"/>
      <c r="Y3" s="477"/>
      <c r="Z3" s="477"/>
      <c r="AA3" s="477"/>
      <c r="AB3" s="477"/>
      <c r="AC3" s="477"/>
      <c r="AD3" s="477"/>
      <c r="AE3" s="477"/>
      <c r="AF3" s="477"/>
      <c r="AG3" s="477"/>
      <c r="AH3" s="477"/>
      <c r="AI3" s="477"/>
      <c r="AJ3" s="477"/>
      <c r="AK3" s="477"/>
      <c r="AL3" s="477"/>
      <c r="AM3" s="477"/>
      <c r="AN3" s="477"/>
      <c r="AO3" s="477"/>
      <c r="AP3" s="477"/>
      <c r="AQ3" s="477"/>
      <c r="AR3" s="477"/>
      <c r="AS3" s="477"/>
      <c r="AT3" s="477"/>
      <c r="AU3" s="477"/>
      <c r="AV3" s="477"/>
      <c r="AW3" s="477"/>
      <c r="AX3" s="477"/>
      <c r="AY3" s="477"/>
      <c r="AZ3" s="477"/>
      <c r="BA3" s="477"/>
      <c r="BB3" s="477"/>
      <c r="BC3" s="477"/>
      <c r="BD3" s="477"/>
      <c r="BE3" s="477"/>
      <c r="BF3" s="477"/>
      <c r="BG3" s="477"/>
      <c r="BH3" s="477"/>
      <c r="BI3" s="477"/>
      <c r="BJ3" s="477"/>
      <c r="BK3" s="477"/>
      <c r="BL3" s="477"/>
      <c r="BM3" s="477"/>
      <c r="BN3" s="477"/>
      <c r="BO3" s="477"/>
      <c r="BP3" s="477"/>
      <c r="BQ3" s="477"/>
      <c r="BR3" s="477"/>
      <c r="BS3" s="477"/>
      <c r="BT3" s="477"/>
      <c r="BU3" s="477"/>
      <c r="BV3" s="477"/>
      <c r="BW3" s="477"/>
      <c r="BX3" s="477"/>
      <c r="BY3" s="477"/>
      <c r="BZ3" s="477"/>
      <c r="CA3" s="477"/>
      <c r="CB3" s="477"/>
      <c r="CC3" s="477"/>
      <c r="CD3" s="477"/>
      <c r="CE3" s="477"/>
      <c r="CF3" s="477"/>
      <c r="CG3" s="477"/>
      <c r="CH3" s="477"/>
      <c r="CI3" s="477"/>
      <c r="CJ3" s="477"/>
      <c r="CK3" s="477"/>
      <c r="CL3" s="477"/>
      <c r="CM3" s="477"/>
      <c r="CN3" s="477"/>
      <c r="CO3" s="477"/>
      <c r="CP3" s="477"/>
      <c r="CQ3" s="477"/>
      <c r="CR3" s="477"/>
      <c r="CS3" s="477"/>
      <c r="CT3" s="477"/>
      <c r="CU3" s="477"/>
      <c r="CV3" s="477"/>
      <c r="CW3" s="477"/>
      <c r="CX3" s="477"/>
      <c r="CY3" s="477"/>
      <c r="CZ3" s="477"/>
      <c r="DA3" s="477"/>
      <c r="DB3" s="477"/>
      <c r="DC3" s="477"/>
      <c r="DD3" s="477"/>
      <c r="DE3" s="477"/>
      <c r="DF3" s="477"/>
      <c r="DG3" s="477"/>
      <c r="DH3" s="477"/>
      <c r="DI3" s="477"/>
      <c r="DJ3" s="477"/>
      <c r="DK3" s="477"/>
      <c r="DL3" s="477"/>
      <c r="DM3" s="477"/>
      <c r="DN3" s="477"/>
      <c r="DO3" s="477"/>
      <c r="DP3" s="477"/>
      <c r="DQ3" s="477"/>
      <c r="DR3" s="477"/>
      <c r="DS3" s="477"/>
      <c r="DT3" s="477"/>
      <c r="DU3" s="477"/>
      <c r="DV3" s="477"/>
      <c r="DW3" s="477"/>
      <c r="DX3" s="477"/>
      <c r="DY3" s="477"/>
      <c r="DZ3" s="477"/>
      <c r="EA3" s="477"/>
      <c r="EB3" s="477"/>
      <c r="EC3" s="477"/>
      <c r="ED3" s="477"/>
      <c r="EE3" s="477"/>
      <c r="EF3" s="477"/>
      <c r="EG3" s="477"/>
      <c r="EH3" s="477"/>
      <c r="EI3" s="477"/>
      <c r="EJ3" s="477"/>
      <c r="EK3" s="477"/>
      <c r="EL3" s="477"/>
      <c r="EM3" s="477"/>
      <c r="EN3" s="477"/>
      <c r="EO3" s="477"/>
      <c r="EP3" s="477"/>
      <c r="EQ3" s="477"/>
      <c r="ER3" s="477"/>
      <c r="ES3" s="477"/>
      <c r="ET3" s="477"/>
      <c r="EU3" s="477"/>
      <c r="EV3" s="477"/>
      <c r="EW3" s="477"/>
      <c r="EX3" s="477"/>
      <c r="EY3" s="477"/>
      <c r="EZ3" s="477"/>
      <c r="FA3" s="477"/>
      <c r="FB3" s="477"/>
      <c r="FC3" s="477"/>
      <c r="FD3" s="477"/>
      <c r="FE3" s="477"/>
      <c r="FF3" s="477"/>
      <c r="FG3" s="477"/>
      <c r="FH3" s="477"/>
      <c r="FI3" s="477"/>
      <c r="FJ3" s="477"/>
      <c r="FK3" s="477"/>
      <c r="FL3" s="477"/>
      <c r="FM3" s="477"/>
      <c r="FN3" s="477"/>
      <c r="FO3" s="477"/>
      <c r="FP3" s="477"/>
      <c r="FQ3" s="477"/>
      <c r="FR3" s="477"/>
      <c r="FS3" s="477"/>
      <c r="FT3" s="477"/>
      <c r="FU3" s="477"/>
      <c r="FV3" s="477"/>
      <c r="FW3" s="477"/>
      <c r="FX3" s="477"/>
      <c r="FY3" s="477"/>
      <c r="FZ3" s="477"/>
    </row>
    <row r="4" spans="1:182" ht="15.75" x14ac:dyDescent="0.25">
      <c r="A4" s="477"/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 t="s">
        <v>161</v>
      </c>
      <c r="N4" s="477"/>
      <c r="O4" s="477"/>
      <c r="P4" s="477"/>
      <c r="Q4" s="477"/>
      <c r="R4" s="477"/>
      <c r="S4" s="477" t="s">
        <v>161</v>
      </c>
      <c r="T4" s="477"/>
      <c r="U4" s="477"/>
      <c r="V4" s="477"/>
      <c r="W4" s="477" t="s">
        <v>161</v>
      </c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7"/>
      <c r="AY4" s="477"/>
      <c r="AZ4" s="477"/>
      <c r="BA4" s="477"/>
      <c r="BB4" s="477"/>
      <c r="BC4" s="477"/>
      <c r="BD4" s="477"/>
      <c r="BE4" s="477"/>
      <c r="BF4" s="477"/>
      <c r="BG4" s="477"/>
      <c r="BH4" s="477"/>
      <c r="BI4" s="477"/>
      <c r="BJ4" s="477"/>
      <c r="BK4" s="477"/>
      <c r="BL4" s="477"/>
      <c r="BM4" s="477"/>
      <c r="BN4" s="477"/>
      <c r="BO4" s="477"/>
      <c r="BP4" s="477"/>
      <c r="BQ4" s="477"/>
      <c r="BR4" s="477"/>
      <c r="BS4" s="477"/>
      <c r="BT4" s="477"/>
      <c r="BU4" s="477"/>
      <c r="BV4" s="477"/>
      <c r="BW4" s="477"/>
      <c r="BX4" s="477"/>
      <c r="BY4" s="477"/>
      <c r="BZ4" s="477"/>
      <c r="CA4" s="477"/>
      <c r="CB4" s="477"/>
      <c r="CC4" s="477"/>
      <c r="CD4" s="477"/>
      <c r="CE4" s="477"/>
      <c r="CF4" s="477"/>
      <c r="CG4" s="477"/>
      <c r="CH4" s="477"/>
      <c r="CI4" s="477"/>
      <c r="CJ4" s="477"/>
      <c r="CK4" s="477"/>
      <c r="CL4" s="477"/>
      <c r="CM4" s="477"/>
      <c r="CN4" s="477"/>
      <c r="CO4" s="477"/>
      <c r="CP4" s="477"/>
      <c r="CQ4" s="477"/>
      <c r="CR4" s="477"/>
      <c r="CS4" s="477"/>
      <c r="CT4" s="477"/>
      <c r="CU4" s="477"/>
      <c r="CV4" s="477"/>
      <c r="CW4" s="477"/>
      <c r="CX4" s="477"/>
      <c r="CY4" s="477"/>
      <c r="CZ4" s="477"/>
      <c r="DA4" s="477"/>
      <c r="DB4" s="477"/>
      <c r="DC4" s="477"/>
      <c r="DD4" s="477"/>
      <c r="DE4" s="477"/>
      <c r="DF4" s="477"/>
      <c r="DG4" s="477"/>
      <c r="DH4" s="477"/>
      <c r="DI4" s="477"/>
      <c r="DJ4" s="477"/>
      <c r="DK4" s="477"/>
      <c r="DL4" s="477"/>
      <c r="DM4" s="477"/>
      <c r="DN4" s="477"/>
      <c r="DO4" s="477"/>
      <c r="DP4" s="477"/>
      <c r="DQ4" s="477"/>
      <c r="DR4" s="477"/>
      <c r="DS4" s="477"/>
      <c r="DT4" s="477"/>
      <c r="DU4" s="477"/>
      <c r="DV4" s="477"/>
      <c r="DW4" s="477"/>
      <c r="DX4" s="477"/>
      <c r="DY4" s="477"/>
      <c r="DZ4" s="477"/>
      <c r="EA4" s="477"/>
      <c r="EB4" s="477"/>
      <c r="EC4" s="477"/>
      <c r="ED4" s="477"/>
      <c r="EE4" s="477"/>
      <c r="EF4" s="477"/>
      <c r="EG4" s="477"/>
      <c r="EH4" s="477"/>
      <c r="EI4" s="477"/>
      <c r="EJ4" s="477"/>
      <c r="EK4" s="477"/>
      <c r="EL4" s="477"/>
      <c r="EM4" s="477"/>
      <c r="EN4" s="477"/>
      <c r="EO4" s="477"/>
      <c r="EP4" s="477"/>
      <c r="EQ4" s="477"/>
      <c r="ER4" s="477"/>
      <c r="ES4" s="477"/>
      <c r="ET4" s="477"/>
      <c r="EU4" s="477"/>
      <c r="EV4" s="477"/>
      <c r="EW4" s="477"/>
      <c r="EX4" s="477"/>
      <c r="EY4" s="477"/>
      <c r="EZ4" s="477"/>
      <c r="FA4" s="477"/>
      <c r="FB4" s="477"/>
      <c r="FC4" s="477"/>
      <c r="FD4" s="477"/>
      <c r="FE4" s="477"/>
      <c r="FF4" s="477"/>
      <c r="FG4" s="477"/>
      <c r="FH4" s="477"/>
      <c r="FI4" s="477"/>
      <c r="FJ4" s="477"/>
      <c r="FK4" s="477"/>
      <c r="FL4" s="477"/>
      <c r="FM4" s="477"/>
      <c r="FN4" s="477"/>
      <c r="FO4" s="477"/>
      <c r="FP4" s="477"/>
      <c r="FQ4" s="477"/>
      <c r="FR4" s="477"/>
      <c r="FS4" s="477"/>
      <c r="FT4" s="477"/>
      <c r="FU4" s="477"/>
      <c r="FV4" s="477"/>
      <c r="FW4" s="477"/>
      <c r="FX4" s="477"/>
      <c r="FY4" s="477"/>
      <c r="FZ4" s="477"/>
    </row>
    <row r="5" spans="1:182" ht="15.75" x14ac:dyDescent="0.25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477"/>
      <c r="AF5" s="477"/>
      <c r="AG5" s="477"/>
      <c r="AH5" s="477"/>
      <c r="AI5" s="477"/>
      <c r="AJ5" s="477"/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7"/>
      <c r="AV5" s="477"/>
      <c r="AW5" s="477"/>
      <c r="AX5" s="477"/>
      <c r="AY5" s="477"/>
      <c r="AZ5" s="477"/>
      <c r="BA5" s="477"/>
      <c r="BB5" s="477"/>
      <c r="BC5" s="477"/>
      <c r="BD5" s="477"/>
      <c r="BE5" s="477"/>
      <c r="BF5" s="477"/>
      <c r="BG5" s="477"/>
      <c r="BH5" s="477"/>
      <c r="BI5" s="477"/>
      <c r="BJ5" s="477"/>
      <c r="BK5" s="477"/>
      <c r="BL5" s="477"/>
      <c r="BM5" s="477"/>
      <c r="BN5" s="477"/>
      <c r="BO5" s="477"/>
      <c r="BP5" s="477"/>
      <c r="BQ5" s="477"/>
      <c r="BR5" s="477"/>
      <c r="BS5" s="477"/>
      <c r="BT5" s="477"/>
      <c r="BU5" s="477"/>
      <c r="BV5" s="477"/>
      <c r="BW5" s="477"/>
      <c r="BX5" s="477"/>
      <c r="BY5" s="477"/>
      <c r="BZ5" s="477"/>
      <c r="CA5" s="477"/>
      <c r="CB5" s="477"/>
      <c r="CC5" s="477"/>
      <c r="CD5" s="477"/>
      <c r="CE5" s="477"/>
      <c r="CF5" s="477"/>
      <c r="CG5" s="477"/>
      <c r="CH5" s="477"/>
      <c r="CI5" s="477"/>
      <c r="CJ5" s="477"/>
      <c r="CK5" s="477"/>
      <c r="CL5" s="477"/>
      <c r="CM5" s="477"/>
      <c r="CN5" s="477"/>
      <c r="CO5" s="477"/>
      <c r="CP5" s="477"/>
      <c r="CQ5" s="477"/>
      <c r="CR5" s="477"/>
      <c r="CS5" s="477"/>
      <c r="CT5" s="477"/>
      <c r="CU5" s="477"/>
      <c r="CV5" s="477"/>
      <c r="CW5" s="477"/>
      <c r="CX5" s="477"/>
      <c r="CY5" s="477"/>
      <c r="CZ5" s="477"/>
      <c r="DA5" s="477"/>
      <c r="DB5" s="477"/>
      <c r="DC5" s="477"/>
      <c r="DD5" s="477"/>
      <c r="DE5" s="477"/>
      <c r="DF5" s="477"/>
      <c r="DG5" s="477"/>
      <c r="DH5" s="477"/>
      <c r="DI5" s="477"/>
      <c r="DJ5" s="477"/>
      <c r="DK5" s="477"/>
      <c r="DL5" s="477"/>
      <c r="DM5" s="477"/>
      <c r="DN5" s="477"/>
      <c r="DO5" s="477"/>
      <c r="DP5" s="477"/>
      <c r="DQ5" s="477"/>
      <c r="DR5" s="477"/>
      <c r="DS5" s="477"/>
      <c r="DT5" s="477"/>
      <c r="DU5" s="477"/>
      <c r="DV5" s="477"/>
      <c r="DW5" s="477"/>
      <c r="DX5" s="477"/>
      <c r="DY5" s="477"/>
      <c r="DZ5" s="477"/>
      <c r="EA5" s="477"/>
      <c r="EB5" s="477"/>
      <c r="EC5" s="477"/>
      <c r="ED5" s="477"/>
      <c r="EE5" s="477"/>
      <c r="EF5" s="477"/>
      <c r="EG5" s="477"/>
      <c r="EH5" s="477"/>
      <c r="EI5" s="477"/>
      <c r="EJ5" s="477"/>
      <c r="EK5" s="477"/>
      <c r="EL5" s="477"/>
      <c r="EM5" s="477"/>
      <c r="EN5" s="477"/>
      <c r="EO5" s="477"/>
      <c r="EP5" s="477"/>
      <c r="EQ5" s="477"/>
      <c r="ER5" s="477"/>
      <c r="ES5" s="477"/>
      <c r="ET5" s="477"/>
      <c r="EU5" s="477"/>
      <c r="EV5" s="477"/>
      <c r="EW5" s="477"/>
      <c r="EX5" s="477"/>
      <c r="EY5" s="477"/>
      <c r="EZ5" s="477"/>
      <c r="FA5" s="477"/>
      <c r="FB5" s="477"/>
      <c r="FC5" s="477"/>
      <c r="FD5" s="477"/>
      <c r="FE5" s="477"/>
      <c r="FF5" s="477"/>
      <c r="FG5" s="477"/>
      <c r="FH5" s="477"/>
      <c r="FI5" s="477"/>
      <c r="FJ5" s="477"/>
      <c r="FK5" s="477"/>
      <c r="FL5" s="477"/>
      <c r="FM5" s="477"/>
      <c r="FN5" s="477"/>
      <c r="FO5" s="477"/>
      <c r="FP5" s="477"/>
      <c r="FQ5" s="477"/>
      <c r="FR5" s="477"/>
      <c r="FS5" s="477"/>
      <c r="FT5" s="477"/>
      <c r="FU5" s="477"/>
      <c r="FV5" s="477"/>
      <c r="FW5" s="477"/>
      <c r="FX5" s="477"/>
      <c r="FY5" s="477"/>
      <c r="FZ5" s="477"/>
    </row>
    <row r="6" spans="1:182" ht="15.75" x14ac:dyDescent="0.25">
      <c r="A6" s="477"/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477"/>
      <c r="AF6" s="477"/>
      <c r="AG6" s="477"/>
      <c r="AH6" s="477"/>
      <c r="AI6" s="477"/>
      <c r="AJ6" s="477"/>
      <c r="AK6" s="477"/>
      <c r="AL6" s="477"/>
      <c r="AM6" s="477"/>
      <c r="AN6" s="477"/>
      <c r="AO6" s="477"/>
      <c r="AP6" s="477"/>
      <c r="AQ6" s="477"/>
      <c r="AR6" s="477"/>
      <c r="AS6" s="477"/>
      <c r="AT6" s="477"/>
      <c r="AU6" s="477"/>
      <c r="AV6" s="477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77"/>
      <c r="BM6" s="477"/>
      <c r="BN6" s="477"/>
      <c r="BO6" s="477"/>
      <c r="BP6" s="477"/>
      <c r="BQ6" s="477"/>
      <c r="BR6" s="477"/>
      <c r="BS6" s="477"/>
      <c r="BT6" s="477"/>
      <c r="BU6" s="477"/>
      <c r="BV6" s="477"/>
      <c r="BW6" s="477"/>
      <c r="BX6" s="477"/>
      <c r="BY6" s="477"/>
      <c r="BZ6" s="477"/>
      <c r="CA6" s="477"/>
      <c r="CB6" s="477"/>
      <c r="CC6" s="477"/>
      <c r="CD6" s="477"/>
      <c r="CE6" s="477"/>
      <c r="CF6" s="477"/>
      <c r="CG6" s="477"/>
      <c r="CH6" s="477"/>
      <c r="CI6" s="477"/>
      <c r="CJ6" s="477"/>
      <c r="CK6" s="477"/>
      <c r="CL6" s="477"/>
      <c r="CM6" s="477"/>
      <c r="CN6" s="477"/>
      <c r="CO6" s="477"/>
      <c r="CP6" s="477"/>
      <c r="CQ6" s="477"/>
      <c r="CR6" s="477"/>
      <c r="CS6" s="477"/>
      <c r="CT6" s="477"/>
      <c r="CU6" s="477"/>
      <c r="CV6" s="477"/>
      <c r="CW6" s="477"/>
      <c r="CX6" s="477"/>
      <c r="CY6" s="477"/>
      <c r="CZ6" s="477"/>
      <c r="DA6" s="477"/>
      <c r="DB6" s="477"/>
      <c r="DC6" s="477"/>
      <c r="DD6" s="477"/>
      <c r="DE6" s="477"/>
      <c r="DF6" s="477"/>
      <c r="DG6" s="477"/>
      <c r="DH6" s="477"/>
      <c r="DI6" s="477"/>
      <c r="DJ6" s="477"/>
      <c r="DK6" s="477"/>
      <c r="DL6" s="477"/>
      <c r="DM6" s="477"/>
      <c r="DN6" s="477"/>
      <c r="DO6" s="477"/>
      <c r="DP6" s="477"/>
      <c r="DQ6" s="477"/>
      <c r="DR6" s="477"/>
      <c r="DS6" s="477"/>
      <c r="DT6" s="477"/>
      <c r="DU6" s="477"/>
      <c r="DV6" s="477"/>
      <c r="DW6" s="477"/>
      <c r="DX6" s="477"/>
      <c r="DY6" s="477"/>
      <c r="DZ6" s="477"/>
      <c r="EA6" s="477"/>
      <c r="EB6" s="477"/>
      <c r="EC6" s="477"/>
      <c r="ED6" s="477"/>
      <c r="EE6" s="477"/>
      <c r="EF6" s="477"/>
      <c r="EG6" s="477"/>
      <c r="EH6" s="477"/>
      <c r="EI6" s="477"/>
      <c r="EJ6" s="477"/>
      <c r="EK6" s="477"/>
      <c r="EL6" s="477"/>
      <c r="EM6" s="477"/>
      <c r="EN6" s="477"/>
      <c r="EO6" s="477"/>
      <c r="EP6" s="477"/>
      <c r="EQ6" s="477"/>
      <c r="ER6" s="477"/>
      <c r="ES6" s="477"/>
      <c r="ET6" s="477"/>
      <c r="EU6" s="477"/>
      <c r="EV6" s="477"/>
      <c r="EW6" s="477"/>
      <c r="EX6" s="477"/>
      <c r="EY6" s="477"/>
      <c r="EZ6" s="477"/>
      <c r="FA6" s="477"/>
      <c r="FB6" s="477"/>
      <c r="FC6" s="477"/>
      <c r="FD6" s="477"/>
      <c r="FE6" s="477"/>
      <c r="FF6" s="477"/>
      <c r="FG6" s="477"/>
      <c r="FH6" s="477"/>
      <c r="FI6" s="477"/>
      <c r="FJ6" s="477"/>
      <c r="FK6" s="477"/>
      <c r="FL6" s="477"/>
      <c r="FM6" s="477"/>
      <c r="FN6" s="477"/>
      <c r="FO6" s="477"/>
      <c r="FP6" s="477"/>
      <c r="FQ6" s="477"/>
      <c r="FR6" s="477"/>
      <c r="FS6" s="477"/>
      <c r="FT6" s="477"/>
      <c r="FU6" s="477"/>
      <c r="FV6" s="477"/>
      <c r="FW6" s="477"/>
      <c r="FX6" s="477"/>
      <c r="FY6" s="477"/>
      <c r="FZ6" s="477"/>
    </row>
    <row r="7" spans="1:182" ht="19.350000000000001" customHeight="1" x14ac:dyDescent="0.25">
      <c r="A7" s="478" t="s">
        <v>374</v>
      </c>
      <c r="B7" s="479" t="s">
        <v>456</v>
      </c>
      <c r="C7" s="480"/>
      <c r="D7" s="480"/>
      <c r="E7" s="480"/>
      <c r="F7" s="480"/>
      <c r="G7" s="481" t="s">
        <v>375</v>
      </c>
      <c r="H7" s="477"/>
      <c r="I7" s="477"/>
      <c r="J7" s="482"/>
      <c r="K7" s="482"/>
      <c r="L7" s="482"/>
      <c r="M7" s="482"/>
      <c r="N7" s="482"/>
      <c r="O7" s="478" t="s">
        <v>374</v>
      </c>
      <c r="P7" s="479" t="s">
        <v>456</v>
      </c>
      <c r="Q7" s="480"/>
      <c r="R7" s="480"/>
      <c r="S7" s="480"/>
      <c r="T7" s="480"/>
      <c r="U7" s="481" t="s">
        <v>375</v>
      </c>
      <c r="V7" s="477"/>
      <c r="W7" s="477"/>
      <c r="X7" s="482"/>
      <c r="Y7" s="482"/>
      <c r="Z7" s="482"/>
      <c r="AA7" s="482"/>
      <c r="AB7" s="482"/>
      <c r="AC7" s="478" t="s">
        <v>374</v>
      </c>
      <c r="AD7" s="479" t="s">
        <v>456</v>
      </c>
      <c r="AE7" s="480"/>
      <c r="AF7" s="480"/>
      <c r="AG7" s="480"/>
      <c r="AH7" s="480"/>
      <c r="AI7" s="481" t="s">
        <v>375</v>
      </c>
      <c r="AJ7" s="477"/>
      <c r="AK7" s="477"/>
      <c r="AL7" s="482"/>
      <c r="AM7" s="482"/>
      <c r="AN7" s="482"/>
      <c r="AO7" s="482"/>
      <c r="AP7" s="482"/>
      <c r="AQ7" s="478" t="s">
        <v>374</v>
      </c>
      <c r="AR7" s="479" t="s">
        <v>456</v>
      </c>
      <c r="AS7" s="480"/>
      <c r="AT7" s="480"/>
      <c r="AU7" s="480"/>
      <c r="AV7" s="480"/>
      <c r="AW7" s="481" t="s">
        <v>375</v>
      </c>
      <c r="AX7" s="477"/>
      <c r="AY7" s="477"/>
      <c r="AZ7" s="482"/>
      <c r="BA7" s="482"/>
      <c r="BB7" s="482"/>
      <c r="BC7" s="482"/>
      <c r="BD7" s="482"/>
      <c r="BE7" s="478" t="s">
        <v>374</v>
      </c>
      <c r="BF7" s="479" t="s">
        <v>456</v>
      </c>
      <c r="BG7" s="480"/>
      <c r="BH7" s="480"/>
      <c r="BI7" s="480"/>
      <c r="BJ7" s="480"/>
      <c r="BK7" s="481" t="s">
        <v>375</v>
      </c>
      <c r="BL7" s="477"/>
      <c r="BM7" s="477"/>
      <c r="BN7" s="482"/>
      <c r="BO7" s="482"/>
      <c r="BP7" s="482"/>
      <c r="BQ7" s="482"/>
      <c r="BR7" s="482"/>
      <c r="BS7" s="478" t="s">
        <v>374</v>
      </c>
      <c r="BT7" s="479" t="s">
        <v>456</v>
      </c>
      <c r="BU7" s="480"/>
      <c r="BV7" s="480"/>
      <c r="BW7" s="480"/>
      <c r="BX7" s="480"/>
      <c r="BY7" s="481" t="s">
        <v>375</v>
      </c>
      <c r="BZ7" s="477"/>
      <c r="CA7" s="477"/>
      <c r="CB7" s="482"/>
      <c r="CC7" s="482"/>
      <c r="CD7" s="482"/>
      <c r="CE7" s="482"/>
      <c r="CF7" s="482"/>
      <c r="CG7" s="478" t="s">
        <v>374</v>
      </c>
      <c r="CH7" s="479" t="s">
        <v>456</v>
      </c>
      <c r="CI7" s="480"/>
      <c r="CJ7" s="480"/>
      <c r="CK7" s="480"/>
      <c r="CL7" s="480"/>
      <c r="CM7" s="481" t="s">
        <v>375</v>
      </c>
      <c r="CN7" s="477"/>
      <c r="CO7" s="477"/>
      <c r="CP7" s="482"/>
      <c r="CQ7" s="482"/>
      <c r="CR7" s="482"/>
      <c r="CS7" s="482"/>
      <c r="CT7" s="482"/>
      <c r="CU7" s="478" t="s">
        <v>374</v>
      </c>
      <c r="CV7" s="479" t="s">
        <v>456</v>
      </c>
      <c r="CW7" s="480"/>
      <c r="CX7" s="480"/>
      <c r="CY7" s="480"/>
      <c r="CZ7" s="480"/>
      <c r="DA7" s="481" t="s">
        <v>375</v>
      </c>
      <c r="DB7" s="477"/>
      <c r="DC7" s="477"/>
      <c r="DD7" s="482"/>
      <c r="DE7" s="482"/>
      <c r="DF7" s="482"/>
      <c r="DG7" s="482"/>
      <c r="DH7" s="482"/>
      <c r="DI7" s="478" t="s">
        <v>374</v>
      </c>
      <c r="DJ7" s="479" t="s">
        <v>456</v>
      </c>
      <c r="DK7" s="480"/>
      <c r="DL7" s="480"/>
      <c r="DM7" s="480"/>
      <c r="DN7" s="480"/>
      <c r="DO7" s="481" t="s">
        <v>375</v>
      </c>
      <c r="DP7" s="477"/>
      <c r="DQ7" s="477"/>
      <c r="DR7" s="482"/>
      <c r="DS7" s="482"/>
      <c r="DT7" s="482"/>
      <c r="DU7" s="482"/>
      <c r="DV7" s="482"/>
      <c r="DW7" s="478" t="s">
        <v>374</v>
      </c>
      <c r="DX7" s="479" t="s">
        <v>456</v>
      </c>
      <c r="DY7" s="480"/>
      <c r="DZ7" s="480"/>
      <c r="EA7" s="480"/>
      <c r="EB7" s="480"/>
      <c r="EC7" s="481" t="s">
        <v>375</v>
      </c>
      <c r="ED7" s="477"/>
      <c r="EE7" s="477"/>
      <c r="EF7" s="482"/>
      <c r="EG7" s="482"/>
      <c r="EH7" s="482"/>
      <c r="EI7" s="482"/>
      <c r="EJ7" s="482"/>
      <c r="EK7" s="478" t="s">
        <v>374</v>
      </c>
      <c r="EL7" s="479" t="s">
        <v>456</v>
      </c>
      <c r="EM7" s="480"/>
      <c r="EN7" s="480"/>
      <c r="EO7" s="480"/>
      <c r="EP7" s="480"/>
      <c r="EQ7" s="481" t="s">
        <v>375</v>
      </c>
      <c r="ER7" s="477"/>
      <c r="ES7" s="477"/>
      <c r="ET7" s="482"/>
      <c r="EU7" s="482"/>
      <c r="EV7" s="482"/>
      <c r="EW7" s="482"/>
      <c r="EX7" s="482"/>
      <c r="EY7" s="478" t="s">
        <v>374</v>
      </c>
      <c r="EZ7" s="479" t="s">
        <v>456</v>
      </c>
      <c r="FA7" s="480"/>
      <c r="FB7" s="480"/>
      <c r="FC7" s="480"/>
      <c r="FD7" s="480"/>
      <c r="FE7" s="481" t="s">
        <v>375</v>
      </c>
      <c r="FF7" s="477"/>
      <c r="FG7" s="477"/>
      <c r="FH7" s="482"/>
      <c r="FI7" s="482"/>
      <c r="FJ7" s="482"/>
      <c r="FK7" s="482"/>
      <c r="FL7" s="482"/>
      <c r="FM7" s="478" t="s">
        <v>374</v>
      </c>
      <c r="FN7" s="479" t="s">
        <v>456</v>
      </c>
      <c r="FO7" s="480"/>
      <c r="FP7" s="480"/>
      <c r="FQ7" s="480"/>
      <c r="FR7" s="480"/>
      <c r="FS7" s="481" t="s">
        <v>375</v>
      </c>
      <c r="FT7" s="477"/>
      <c r="FU7" s="477"/>
      <c r="FV7" s="482"/>
      <c r="FW7" s="482"/>
      <c r="FX7" s="482"/>
      <c r="FY7" s="482"/>
      <c r="FZ7" s="482"/>
    </row>
    <row r="8" spans="1:182" ht="19.350000000000001" customHeight="1" x14ac:dyDescent="0.25">
      <c r="A8" s="481" t="s">
        <v>376</v>
      </c>
      <c r="B8" s="483" t="s">
        <v>457</v>
      </c>
      <c r="C8" s="480"/>
      <c r="D8" s="480"/>
      <c r="E8" s="480"/>
      <c r="F8" s="480"/>
      <c r="G8" s="480"/>
      <c r="H8" s="480"/>
      <c r="I8" s="480"/>
      <c r="J8" s="480"/>
      <c r="K8" s="484"/>
      <c r="L8" s="480"/>
      <c r="M8" s="480"/>
      <c r="N8" s="480"/>
      <c r="O8" s="481" t="s">
        <v>376</v>
      </c>
      <c r="P8" s="483" t="s">
        <v>457</v>
      </c>
      <c r="Q8" s="480"/>
      <c r="R8" s="480"/>
      <c r="S8" s="480"/>
      <c r="T8" s="480"/>
      <c r="U8" s="480"/>
      <c r="V8" s="480"/>
      <c r="W8" s="480"/>
      <c r="X8" s="480"/>
      <c r="Y8" s="484"/>
      <c r="Z8" s="480"/>
      <c r="AA8" s="480"/>
      <c r="AB8" s="480"/>
      <c r="AC8" s="481" t="s">
        <v>376</v>
      </c>
      <c r="AD8" s="483" t="s">
        <v>457</v>
      </c>
      <c r="AE8" s="480"/>
      <c r="AF8" s="480"/>
      <c r="AG8" s="480"/>
      <c r="AH8" s="480"/>
      <c r="AI8" s="480"/>
      <c r="AJ8" s="480"/>
      <c r="AK8" s="480"/>
      <c r="AL8" s="480"/>
      <c r="AM8" s="484"/>
      <c r="AN8" s="480"/>
      <c r="AO8" s="480"/>
      <c r="AP8" s="480"/>
      <c r="AQ8" s="481" t="s">
        <v>376</v>
      </c>
      <c r="AR8" s="483" t="s">
        <v>457</v>
      </c>
      <c r="AS8" s="480"/>
      <c r="AT8" s="480"/>
      <c r="AU8" s="480"/>
      <c r="AV8" s="480"/>
      <c r="AW8" s="480"/>
      <c r="AX8" s="480"/>
      <c r="AY8" s="480"/>
      <c r="AZ8" s="480"/>
      <c r="BA8" s="484"/>
      <c r="BB8" s="480"/>
      <c r="BC8" s="480"/>
      <c r="BD8" s="480"/>
      <c r="BE8" s="481" t="s">
        <v>376</v>
      </c>
      <c r="BF8" s="483" t="s">
        <v>457</v>
      </c>
      <c r="BG8" s="480"/>
      <c r="BH8" s="480"/>
      <c r="BI8" s="480"/>
      <c r="BJ8" s="480"/>
      <c r="BK8" s="480"/>
      <c r="BL8" s="480"/>
      <c r="BM8" s="480"/>
      <c r="BN8" s="480"/>
      <c r="BO8" s="484"/>
      <c r="BP8" s="480"/>
      <c r="BQ8" s="480"/>
      <c r="BR8" s="480"/>
      <c r="BS8" s="481" t="s">
        <v>376</v>
      </c>
      <c r="BT8" s="483" t="s">
        <v>457</v>
      </c>
      <c r="BU8" s="480"/>
      <c r="BV8" s="480"/>
      <c r="BW8" s="480"/>
      <c r="BX8" s="480"/>
      <c r="BY8" s="480"/>
      <c r="BZ8" s="480"/>
      <c r="CA8" s="480"/>
      <c r="CB8" s="480"/>
      <c r="CC8" s="484"/>
      <c r="CD8" s="480"/>
      <c r="CE8" s="480"/>
      <c r="CF8" s="480"/>
      <c r="CG8" s="481" t="s">
        <v>376</v>
      </c>
      <c r="CH8" s="483" t="s">
        <v>457</v>
      </c>
      <c r="CI8" s="480"/>
      <c r="CJ8" s="480"/>
      <c r="CK8" s="480"/>
      <c r="CL8" s="480"/>
      <c r="CM8" s="480"/>
      <c r="CN8" s="480"/>
      <c r="CO8" s="480"/>
      <c r="CP8" s="480"/>
      <c r="CQ8" s="484"/>
      <c r="CR8" s="480"/>
      <c r="CS8" s="480"/>
      <c r="CT8" s="480"/>
      <c r="CU8" s="481" t="s">
        <v>376</v>
      </c>
      <c r="CV8" s="483" t="s">
        <v>457</v>
      </c>
      <c r="CW8" s="480"/>
      <c r="CX8" s="480"/>
      <c r="CY8" s="480"/>
      <c r="CZ8" s="480"/>
      <c r="DA8" s="480"/>
      <c r="DB8" s="480"/>
      <c r="DC8" s="480"/>
      <c r="DD8" s="480"/>
      <c r="DE8" s="484"/>
      <c r="DF8" s="480"/>
      <c r="DG8" s="480"/>
      <c r="DH8" s="480"/>
      <c r="DI8" s="481" t="s">
        <v>376</v>
      </c>
      <c r="DJ8" s="483" t="s">
        <v>457</v>
      </c>
      <c r="DK8" s="480"/>
      <c r="DL8" s="480"/>
      <c r="DM8" s="480"/>
      <c r="DN8" s="480"/>
      <c r="DO8" s="480"/>
      <c r="DP8" s="480"/>
      <c r="DQ8" s="480"/>
      <c r="DR8" s="480"/>
      <c r="DS8" s="484"/>
      <c r="DT8" s="480"/>
      <c r="DU8" s="480"/>
      <c r="DV8" s="480"/>
      <c r="DW8" s="481" t="s">
        <v>376</v>
      </c>
      <c r="DX8" s="483" t="s">
        <v>457</v>
      </c>
      <c r="DY8" s="480"/>
      <c r="DZ8" s="480"/>
      <c r="EA8" s="480"/>
      <c r="EB8" s="480"/>
      <c r="EC8" s="480"/>
      <c r="ED8" s="480"/>
      <c r="EE8" s="480"/>
      <c r="EF8" s="480"/>
      <c r="EG8" s="484"/>
      <c r="EH8" s="480"/>
      <c r="EI8" s="480"/>
      <c r="EJ8" s="480"/>
      <c r="EK8" s="481" t="s">
        <v>376</v>
      </c>
      <c r="EL8" s="483" t="s">
        <v>457</v>
      </c>
      <c r="EM8" s="480"/>
      <c r="EN8" s="480"/>
      <c r="EO8" s="480"/>
      <c r="EP8" s="480"/>
      <c r="EQ8" s="480"/>
      <c r="ER8" s="480"/>
      <c r="ES8" s="480"/>
      <c r="ET8" s="480"/>
      <c r="EU8" s="484"/>
      <c r="EV8" s="480"/>
      <c r="EW8" s="480"/>
      <c r="EX8" s="480"/>
      <c r="EY8" s="481" t="s">
        <v>376</v>
      </c>
      <c r="EZ8" s="483" t="s">
        <v>457</v>
      </c>
      <c r="FA8" s="480"/>
      <c r="FB8" s="480"/>
      <c r="FC8" s="480"/>
      <c r="FD8" s="480"/>
      <c r="FE8" s="480"/>
      <c r="FF8" s="480"/>
      <c r="FG8" s="480"/>
      <c r="FH8" s="480"/>
      <c r="FI8" s="484"/>
      <c r="FJ8" s="480"/>
      <c r="FK8" s="480"/>
      <c r="FL8" s="480"/>
      <c r="FM8" s="481" t="s">
        <v>376</v>
      </c>
      <c r="FN8" s="483" t="s">
        <v>457</v>
      </c>
      <c r="FO8" s="480"/>
      <c r="FP8" s="480"/>
      <c r="FQ8" s="480"/>
      <c r="FR8" s="480"/>
      <c r="FS8" s="480"/>
      <c r="FT8" s="480"/>
      <c r="FU8" s="480"/>
      <c r="FV8" s="480"/>
      <c r="FW8" s="484"/>
      <c r="FX8" s="480"/>
      <c r="FY8" s="480"/>
      <c r="FZ8" s="480"/>
    </row>
    <row r="9" spans="1:182" s="297" customFormat="1" ht="19.350000000000001" customHeight="1" x14ac:dyDescent="0.2">
      <c r="A9" s="485" t="s">
        <v>377</v>
      </c>
      <c r="B9" s="481" t="s">
        <v>378</v>
      </c>
      <c r="C9" s="481"/>
      <c r="D9" s="481"/>
      <c r="E9" s="481"/>
      <c r="F9" s="481"/>
      <c r="G9" s="481"/>
      <c r="H9" s="481"/>
      <c r="I9" s="481"/>
      <c r="J9" s="481"/>
      <c r="K9" s="486"/>
      <c r="L9" s="487" t="s">
        <v>536</v>
      </c>
      <c r="M9" s="481"/>
      <c r="N9" s="481"/>
      <c r="O9" s="485" t="s">
        <v>377</v>
      </c>
      <c r="P9" s="481" t="s">
        <v>378</v>
      </c>
      <c r="Q9" s="481"/>
      <c r="R9" s="481"/>
      <c r="S9" s="481"/>
      <c r="T9" s="481"/>
      <c r="U9" s="481"/>
      <c r="V9" s="481"/>
      <c r="W9" s="481"/>
      <c r="X9" s="481"/>
      <c r="Y9" s="486"/>
      <c r="Z9" s="487" t="s">
        <v>537</v>
      </c>
      <c r="AA9" s="481"/>
      <c r="AB9" s="481"/>
      <c r="AC9" s="485" t="s">
        <v>377</v>
      </c>
      <c r="AD9" s="481" t="s">
        <v>378</v>
      </c>
      <c r="AE9" s="481"/>
      <c r="AF9" s="481"/>
      <c r="AG9" s="481"/>
      <c r="AH9" s="481"/>
      <c r="AI9" s="481"/>
      <c r="AJ9" s="481"/>
      <c r="AK9" s="481"/>
      <c r="AL9" s="481"/>
      <c r="AM9" s="486"/>
      <c r="AN9" s="487" t="s">
        <v>538</v>
      </c>
      <c r="AO9" s="481"/>
      <c r="AP9" s="481"/>
      <c r="AQ9" s="485" t="s">
        <v>377</v>
      </c>
      <c r="AR9" s="481" t="s">
        <v>378</v>
      </c>
      <c r="AS9" s="481"/>
      <c r="AT9" s="481"/>
      <c r="AU9" s="481"/>
      <c r="AV9" s="481"/>
      <c r="AW9" s="481"/>
      <c r="AX9" s="481"/>
      <c r="AY9" s="481"/>
      <c r="AZ9" s="481"/>
      <c r="BA9" s="486"/>
      <c r="BB9" s="487" t="s">
        <v>539</v>
      </c>
      <c r="BC9" s="481"/>
      <c r="BD9" s="481"/>
      <c r="BE9" s="485" t="s">
        <v>377</v>
      </c>
      <c r="BF9" s="481" t="s">
        <v>378</v>
      </c>
      <c r="BG9" s="481"/>
      <c r="BH9" s="481"/>
      <c r="BI9" s="481"/>
      <c r="BJ9" s="481"/>
      <c r="BK9" s="481"/>
      <c r="BL9" s="481"/>
      <c r="BM9" s="481"/>
      <c r="BN9" s="481"/>
      <c r="BO9" s="486"/>
      <c r="BP9" s="487" t="s">
        <v>540</v>
      </c>
      <c r="BQ9" s="481"/>
      <c r="BR9" s="481"/>
      <c r="BS9" s="485" t="s">
        <v>377</v>
      </c>
      <c r="BT9" s="481" t="s">
        <v>378</v>
      </c>
      <c r="BU9" s="481"/>
      <c r="BV9" s="481"/>
      <c r="BW9" s="481"/>
      <c r="BX9" s="481"/>
      <c r="BY9" s="481"/>
      <c r="BZ9" s="481"/>
      <c r="CA9" s="481"/>
      <c r="CB9" s="481"/>
      <c r="CC9" s="486"/>
      <c r="CD9" s="487" t="s">
        <v>541</v>
      </c>
      <c r="CE9" s="481"/>
      <c r="CF9" s="481"/>
      <c r="CG9" s="485" t="s">
        <v>377</v>
      </c>
      <c r="CH9" s="481" t="s">
        <v>378</v>
      </c>
      <c r="CI9" s="481"/>
      <c r="CJ9" s="481"/>
      <c r="CK9" s="481"/>
      <c r="CL9" s="481"/>
      <c r="CM9" s="481"/>
      <c r="CN9" s="481"/>
      <c r="CO9" s="481"/>
      <c r="CP9" s="481"/>
      <c r="CQ9" s="486"/>
      <c r="CR9" s="487" t="s">
        <v>379</v>
      </c>
      <c r="CS9" s="481"/>
      <c r="CT9" s="481"/>
      <c r="CU9" s="485" t="s">
        <v>377</v>
      </c>
      <c r="CV9" s="481" t="s">
        <v>378</v>
      </c>
      <c r="CW9" s="481"/>
      <c r="CX9" s="481"/>
      <c r="CY9" s="481"/>
      <c r="CZ9" s="481"/>
      <c r="DA9" s="481"/>
      <c r="DB9" s="481"/>
      <c r="DC9" s="481"/>
      <c r="DD9" s="481"/>
      <c r="DE9" s="486"/>
      <c r="DF9" s="487" t="s">
        <v>380</v>
      </c>
      <c r="DG9" s="481"/>
      <c r="DH9" s="481"/>
      <c r="DI9" s="485" t="s">
        <v>377</v>
      </c>
      <c r="DJ9" s="481" t="s">
        <v>378</v>
      </c>
      <c r="DK9" s="481"/>
      <c r="DL9" s="481"/>
      <c r="DM9" s="481"/>
      <c r="DN9" s="481"/>
      <c r="DO9" s="481"/>
      <c r="DP9" s="481"/>
      <c r="DQ9" s="481"/>
      <c r="DR9" s="481"/>
      <c r="DS9" s="486"/>
      <c r="DT9" s="487" t="s">
        <v>381</v>
      </c>
      <c r="DU9" s="481"/>
      <c r="DV9" s="481"/>
      <c r="DW9" s="485" t="s">
        <v>377</v>
      </c>
      <c r="DX9" s="481" t="s">
        <v>378</v>
      </c>
      <c r="DY9" s="481"/>
      <c r="DZ9" s="481"/>
      <c r="EA9" s="481"/>
      <c r="EB9" s="481"/>
      <c r="EC9" s="481"/>
      <c r="ED9" s="481"/>
      <c r="EE9" s="481"/>
      <c r="EF9" s="481"/>
      <c r="EG9" s="486"/>
      <c r="EH9" s="487" t="s">
        <v>382</v>
      </c>
      <c r="EI9" s="481"/>
      <c r="EJ9" s="481"/>
      <c r="EK9" s="485" t="s">
        <v>377</v>
      </c>
      <c r="EL9" s="481" t="s">
        <v>378</v>
      </c>
      <c r="EM9" s="481"/>
      <c r="EN9" s="481"/>
      <c r="EO9" s="481"/>
      <c r="EP9" s="481"/>
      <c r="EQ9" s="481"/>
      <c r="ER9" s="481"/>
      <c r="ES9" s="481"/>
      <c r="ET9" s="481"/>
      <c r="EU9" s="486"/>
      <c r="EV9" s="487" t="s">
        <v>383</v>
      </c>
      <c r="EW9" s="481"/>
      <c r="EX9" s="481"/>
      <c r="EY9" s="485" t="s">
        <v>377</v>
      </c>
      <c r="EZ9" s="481" t="s">
        <v>378</v>
      </c>
      <c r="FA9" s="481"/>
      <c r="FB9" s="481"/>
      <c r="FC9" s="481"/>
      <c r="FD9" s="481"/>
      <c r="FE9" s="481"/>
      <c r="FF9" s="481"/>
      <c r="FG9" s="481"/>
      <c r="FH9" s="481"/>
      <c r="FI9" s="486"/>
      <c r="FJ9" s="487" t="s">
        <v>384</v>
      </c>
      <c r="FK9" s="481"/>
      <c r="FL9" s="481"/>
      <c r="FM9" s="485" t="s">
        <v>377</v>
      </c>
      <c r="FN9" s="481" t="s">
        <v>378</v>
      </c>
      <c r="FO9" s="481"/>
      <c r="FP9" s="481"/>
      <c r="FQ9" s="481"/>
      <c r="FR9" s="481"/>
      <c r="FS9" s="481"/>
      <c r="FT9" s="481"/>
      <c r="FU9" s="481"/>
      <c r="FV9" s="481"/>
      <c r="FW9" s="486"/>
      <c r="FX9" s="487" t="s">
        <v>385</v>
      </c>
      <c r="FY9" s="481"/>
      <c r="FZ9" s="481"/>
    </row>
    <row r="10" spans="1:182" ht="9" customHeight="1" x14ac:dyDescent="0.25">
      <c r="A10" s="477"/>
      <c r="B10" s="477"/>
      <c r="C10" s="477"/>
      <c r="D10" s="477"/>
      <c r="E10" s="477"/>
      <c r="F10" s="477"/>
      <c r="G10" s="477"/>
      <c r="H10" s="47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7"/>
      <c r="AF10" s="477"/>
      <c r="AG10" s="477"/>
      <c r="AH10" s="477"/>
      <c r="AI10" s="477"/>
      <c r="AJ10" s="477"/>
      <c r="AK10" s="477"/>
      <c r="AL10" s="477"/>
      <c r="AM10" s="477"/>
      <c r="AN10" s="477"/>
      <c r="AO10" s="477"/>
      <c r="AP10" s="477"/>
      <c r="AQ10" s="477"/>
      <c r="AR10" s="477"/>
      <c r="AS10" s="477"/>
      <c r="AT10" s="477"/>
      <c r="AU10" s="477"/>
      <c r="AV10" s="477"/>
      <c r="AW10" s="477"/>
      <c r="AX10" s="477"/>
      <c r="AY10" s="477"/>
      <c r="AZ10" s="477"/>
      <c r="BA10" s="477"/>
      <c r="BB10" s="477"/>
      <c r="BC10" s="477"/>
      <c r="BD10" s="477"/>
      <c r="BE10" s="477"/>
      <c r="BF10" s="477"/>
      <c r="BG10" s="477"/>
      <c r="BH10" s="477"/>
      <c r="BI10" s="477"/>
      <c r="BJ10" s="477"/>
      <c r="BK10" s="477"/>
      <c r="BL10" s="477"/>
      <c r="BM10" s="477"/>
      <c r="BN10" s="477"/>
      <c r="BO10" s="477"/>
      <c r="BP10" s="477"/>
      <c r="BQ10" s="477"/>
      <c r="BR10" s="477"/>
      <c r="BS10" s="477"/>
      <c r="BT10" s="477"/>
      <c r="BU10" s="477"/>
      <c r="BV10" s="477"/>
      <c r="BW10" s="477"/>
      <c r="BX10" s="477"/>
      <c r="BY10" s="477"/>
      <c r="BZ10" s="477"/>
      <c r="CA10" s="477"/>
      <c r="CB10" s="477"/>
      <c r="CC10" s="477"/>
      <c r="CD10" s="477"/>
      <c r="CE10" s="477"/>
      <c r="CF10" s="477"/>
      <c r="CG10" s="477"/>
      <c r="CH10" s="477"/>
      <c r="CI10" s="477"/>
      <c r="CJ10" s="477"/>
      <c r="CK10" s="477"/>
      <c r="CL10" s="477"/>
      <c r="CM10" s="477"/>
      <c r="CN10" s="477"/>
      <c r="CO10" s="477"/>
      <c r="CP10" s="477"/>
      <c r="CQ10" s="477"/>
      <c r="CR10" s="477"/>
      <c r="CS10" s="477"/>
      <c r="CT10" s="477"/>
      <c r="CU10" s="477"/>
      <c r="CV10" s="477"/>
      <c r="CW10" s="477"/>
      <c r="CX10" s="477"/>
      <c r="CY10" s="477"/>
      <c r="CZ10" s="477"/>
      <c r="DA10" s="477"/>
      <c r="DB10" s="477"/>
      <c r="DC10" s="477"/>
      <c r="DD10" s="477"/>
      <c r="DE10" s="477"/>
      <c r="DF10" s="477"/>
      <c r="DG10" s="477"/>
      <c r="DH10" s="477"/>
      <c r="DI10" s="477"/>
      <c r="DJ10" s="477"/>
      <c r="DK10" s="477"/>
      <c r="DL10" s="477"/>
      <c r="DM10" s="477"/>
      <c r="DN10" s="477"/>
      <c r="DO10" s="477"/>
      <c r="DP10" s="477"/>
      <c r="DQ10" s="477"/>
      <c r="DR10" s="477"/>
      <c r="DS10" s="477"/>
      <c r="DT10" s="477"/>
      <c r="DU10" s="477"/>
      <c r="DV10" s="477"/>
      <c r="DW10" s="477"/>
      <c r="DX10" s="477"/>
      <c r="DY10" s="477"/>
      <c r="DZ10" s="477"/>
      <c r="EA10" s="477"/>
      <c r="EB10" s="477"/>
      <c r="EC10" s="477"/>
      <c r="ED10" s="477"/>
      <c r="EE10" s="477"/>
      <c r="EF10" s="477"/>
      <c r="EG10" s="477"/>
      <c r="EH10" s="477"/>
      <c r="EI10" s="477"/>
      <c r="EJ10" s="477"/>
      <c r="EK10" s="477"/>
      <c r="EL10" s="477"/>
      <c r="EM10" s="477"/>
      <c r="EN10" s="477"/>
      <c r="EO10" s="477"/>
      <c r="EP10" s="477"/>
      <c r="EQ10" s="477"/>
      <c r="ER10" s="477"/>
      <c r="ES10" s="477"/>
      <c r="ET10" s="477"/>
      <c r="EU10" s="477"/>
      <c r="EV10" s="477"/>
      <c r="EW10" s="477"/>
      <c r="EX10" s="477"/>
      <c r="EY10" s="477"/>
      <c r="EZ10" s="477"/>
      <c r="FA10" s="477"/>
      <c r="FB10" s="477"/>
      <c r="FC10" s="477"/>
      <c r="FD10" s="477"/>
      <c r="FE10" s="477"/>
      <c r="FF10" s="477"/>
      <c r="FG10" s="477"/>
      <c r="FH10" s="477"/>
      <c r="FI10" s="477"/>
      <c r="FJ10" s="477"/>
      <c r="FK10" s="477"/>
      <c r="FL10" s="477"/>
      <c r="FM10" s="477"/>
      <c r="FN10" s="477"/>
      <c r="FO10" s="477"/>
      <c r="FP10" s="477"/>
      <c r="FQ10" s="477"/>
      <c r="FR10" s="477"/>
      <c r="FS10" s="477"/>
      <c r="FT10" s="477"/>
      <c r="FU10" s="477"/>
      <c r="FV10" s="477"/>
      <c r="FW10" s="477"/>
      <c r="FX10" s="477"/>
      <c r="FY10" s="477"/>
      <c r="FZ10" s="477"/>
    </row>
    <row r="11" spans="1:182" s="488" customFormat="1" ht="19.350000000000001" customHeight="1" x14ac:dyDescent="0.2">
      <c r="A11" s="1058" t="s">
        <v>386</v>
      </c>
      <c r="B11" s="1056"/>
      <c r="C11" s="1056" t="s">
        <v>614</v>
      </c>
      <c r="D11" s="1056"/>
      <c r="E11" s="1056"/>
      <c r="F11" s="1056"/>
      <c r="G11" s="1056" t="s">
        <v>615</v>
      </c>
      <c r="H11" s="1056"/>
      <c r="I11" s="1056"/>
      <c r="J11" s="1056"/>
      <c r="K11" s="1056" t="s">
        <v>616</v>
      </c>
      <c r="L11" s="1056"/>
      <c r="M11" s="1056"/>
      <c r="N11" s="1057"/>
      <c r="O11" s="1058" t="s">
        <v>386</v>
      </c>
      <c r="P11" s="1056"/>
      <c r="Q11" s="1056" t="s">
        <v>617</v>
      </c>
      <c r="R11" s="1056"/>
      <c r="S11" s="1056"/>
      <c r="T11" s="1056"/>
      <c r="U11" s="1056" t="s">
        <v>618</v>
      </c>
      <c r="V11" s="1056"/>
      <c r="W11" s="1056"/>
      <c r="X11" s="1056"/>
      <c r="Y11" s="1056" t="s">
        <v>619</v>
      </c>
      <c r="Z11" s="1056"/>
      <c r="AA11" s="1056"/>
      <c r="AB11" s="1057"/>
      <c r="AC11" s="1058" t="s">
        <v>386</v>
      </c>
      <c r="AD11" s="1056"/>
      <c r="AE11" s="1056" t="s">
        <v>620</v>
      </c>
      <c r="AF11" s="1056"/>
      <c r="AG11" s="1056"/>
      <c r="AH11" s="1056"/>
      <c r="AI11" s="1056" t="s">
        <v>621</v>
      </c>
      <c r="AJ11" s="1056"/>
      <c r="AK11" s="1056"/>
      <c r="AL11" s="1056"/>
      <c r="AM11" s="1057" t="s">
        <v>622</v>
      </c>
      <c r="AN11" s="1059"/>
      <c r="AO11" s="1059"/>
      <c r="AP11" s="1059"/>
      <c r="AQ11" s="1058" t="s">
        <v>386</v>
      </c>
      <c r="AR11" s="1056"/>
      <c r="AS11" s="1057" t="s">
        <v>623</v>
      </c>
      <c r="AT11" s="1059"/>
      <c r="AU11" s="1059"/>
      <c r="AV11" s="1058"/>
      <c r="AW11" s="1057" t="s">
        <v>624</v>
      </c>
      <c r="AX11" s="1059"/>
      <c r="AY11" s="1059"/>
      <c r="AZ11" s="1058"/>
      <c r="BA11" s="1057" t="s">
        <v>625</v>
      </c>
      <c r="BB11" s="1059"/>
      <c r="BC11" s="1059"/>
      <c r="BD11" s="1059"/>
      <c r="BE11" s="1058" t="s">
        <v>386</v>
      </c>
      <c r="BF11" s="1056"/>
      <c r="BG11" s="1057" t="s">
        <v>626</v>
      </c>
      <c r="BH11" s="1059"/>
      <c r="BI11" s="1059"/>
      <c r="BJ11" s="1058"/>
      <c r="BK11" s="1057" t="s">
        <v>646</v>
      </c>
      <c r="BL11" s="1059"/>
      <c r="BM11" s="1059"/>
      <c r="BN11" s="1058"/>
      <c r="BO11" s="1057" t="s">
        <v>389</v>
      </c>
      <c r="BP11" s="1059"/>
      <c r="BQ11" s="1059"/>
      <c r="BR11" s="1059"/>
      <c r="BS11" s="1058" t="s">
        <v>386</v>
      </c>
      <c r="BT11" s="1056"/>
      <c r="BU11" s="1057" t="s">
        <v>458</v>
      </c>
      <c r="BV11" s="1059"/>
      <c r="BW11" s="1059"/>
      <c r="BX11" s="1058"/>
      <c r="BY11" s="1057"/>
      <c r="BZ11" s="1059"/>
      <c r="CA11" s="1059"/>
      <c r="CB11" s="1058"/>
      <c r="CC11" s="1057"/>
      <c r="CD11" s="1059"/>
      <c r="CE11" s="1059"/>
      <c r="CF11" s="1059"/>
      <c r="CG11" s="1058" t="s">
        <v>386</v>
      </c>
      <c r="CH11" s="1056"/>
      <c r="CI11" s="1057"/>
      <c r="CJ11" s="1059"/>
      <c r="CK11" s="1059"/>
      <c r="CL11" s="1058"/>
      <c r="CM11" s="1057"/>
      <c r="CN11" s="1059"/>
      <c r="CO11" s="1059"/>
      <c r="CP11" s="1058"/>
      <c r="CQ11" s="1057"/>
      <c r="CR11" s="1059"/>
      <c r="CS11" s="1059"/>
      <c r="CT11" s="1059"/>
      <c r="CU11" s="1058" t="s">
        <v>386</v>
      </c>
      <c r="CV11" s="1056"/>
      <c r="CW11" s="1057"/>
      <c r="CX11" s="1059"/>
      <c r="CY11" s="1059"/>
      <c r="CZ11" s="1058"/>
      <c r="DA11" s="1057"/>
      <c r="DB11" s="1059"/>
      <c r="DC11" s="1059"/>
      <c r="DD11" s="1058"/>
      <c r="DE11" s="1057"/>
      <c r="DF11" s="1059"/>
      <c r="DG11" s="1059"/>
      <c r="DH11" s="1059"/>
      <c r="DI11" s="1058" t="s">
        <v>386</v>
      </c>
      <c r="DJ11" s="1056"/>
      <c r="DK11" s="1057"/>
      <c r="DL11" s="1059"/>
      <c r="DM11" s="1059"/>
      <c r="DN11" s="1058"/>
      <c r="DO11" s="1056"/>
      <c r="DP11" s="1056"/>
      <c r="DQ11" s="1056"/>
      <c r="DR11" s="1056"/>
      <c r="DS11" s="1056"/>
      <c r="DT11" s="1056"/>
      <c r="DU11" s="1056"/>
      <c r="DV11" s="1057"/>
      <c r="DW11" s="1058" t="s">
        <v>386</v>
      </c>
      <c r="DX11" s="1056"/>
      <c r="DY11" s="1056"/>
      <c r="DZ11" s="1056"/>
      <c r="EA11" s="1056"/>
      <c r="EB11" s="1056"/>
      <c r="EC11" s="1056"/>
      <c r="ED11" s="1056"/>
      <c r="EE11" s="1056"/>
      <c r="EF11" s="1056"/>
      <c r="EG11" s="1056"/>
      <c r="EH11" s="1056"/>
      <c r="EI11" s="1056"/>
      <c r="EJ11" s="1057"/>
      <c r="EK11" s="1058" t="s">
        <v>386</v>
      </c>
      <c r="EL11" s="1056"/>
      <c r="EM11" s="1056"/>
      <c r="EN11" s="1056"/>
      <c r="EO11" s="1056"/>
      <c r="EP11" s="1056"/>
      <c r="EQ11" s="1056"/>
      <c r="ER11" s="1056"/>
      <c r="ES11" s="1056"/>
      <c r="ET11" s="1056"/>
      <c r="EU11" s="1056"/>
      <c r="EV11" s="1056"/>
      <c r="EW11" s="1056"/>
      <c r="EX11" s="1057"/>
      <c r="EY11" s="1058" t="s">
        <v>386</v>
      </c>
      <c r="EZ11" s="1056"/>
      <c r="FA11" s="1056"/>
      <c r="FB11" s="1056"/>
      <c r="FC11" s="1056"/>
      <c r="FD11" s="1056"/>
      <c r="FE11" s="1056"/>
      <c r="FF11" s="1056"/>
      <c r="FG11" s="1056"/>
      <c r="FH11" s="1056"/>
      <c r="FI11" s="1056"/>
      <c r="FJ11" s="1056"/>
      <c r="FK11" s="1056"/>
      <c r="FL11" s="1057"/>
      <c r="FM11" s="1058" t="s">
        <v>386</v>
      </c>
      <c r="FN11" s="1056"/>
      <c r="FO11" s="1056"/>
      <c r="FP11" s="1056"/>
      <c r="FQ11" s="1056"/>
      <c r="FR11" s="1056"/>
      <c r="FS11" s="1056"/>
      <c r="FT11" s="1056"/>
      <c r="FU11" s="1056"/>
      <c r="FV11" s="1056"/>
      <c r="FW11" s="1056"/>
      <c r="FX11" s="1056"/>
      <c r="FY11" s="1056"/>
      <c r="FZ11" s="1057"/>
    </row>
    <row r="12" spans="1:182" s="488" customFormat="1" ht="19.350000000000001" customHeight="1" x14ac:dyDescent="0.2">
      <c r="A12" s="1054" t="s">
        <v>390</v>
      </c>
      <c r="B12" s="1052"/>
      <c r="C12" s="1052"/>
      <c r="D12" s="1052"/>
      <c r="E12" s="1052"/>
      <c r="F12" s="1052"/>
      <c r="G12" s="1052"/>
      <c r="H12" s="1052"/>
      <c r="I12" s="1052"/>
      <c r="J12" s="1052"/>
      <c r="K12" s="1052"/>
      <c r="L12" s="1052"/>
      <c r="M12" s="1052"/>
      <c r="N12" s="1053"/>
      <c r="O12" s="1054" t="s">
        <v>390</v>
      </c>
      <c r="P12" s="1052"/>
      <c r="Q12" s="1052"/>
      <c r="R12" s="1052"/>
      <c r="S12" s="1052"/>
      <c r="T12" s="1052"/>
      <c r="U12" s="1052"/>
      <c r="V12" s="1052"/>
      <c r="W12" s="1052"/>
      <c r="X12" s="1052"/>
      <c r="Y12" s="1052"/>
      <c r="Z12" s="1052"/>
      <c r="AA12" s="1052"/>
      <c r="AB12" s="1053"/>
      <c r="AC12" s="1054" t="s">
        <v>390</v>
      </c>
      <c r="AD12" s="1052"/>
      <c r="AE12" s="1052"/>
      <c r="AF12" s="1052"/>
      <c r="AG12" s="1052"/>
      <c r="AH12" s="1052"/>
      <c r="AI12" s="1052"/>
      <c r="AJ12" s="1052"/>
      <c r="AK12" s="1052"/>
      <c r="AL12" s="1052"/>
      <c r="AM12" s="1053"/>
      <c r="AN12" s="1055"/>
      <c r="AO12" s="1055"/>
      <c r="AP12" s="1055"/>
      <c r="AQ12" s="1054" t="s">
        <v>390</v>
      </c>
      <c r="AR12" s="1052"/>
      <c r="AS12" s="1053"/>
      <c r="AT12" s="1055"/>
      <c r="AU12" s="1055"/>
      <c r="AV12" s="1054"/>
      <c r="AW12" s="1053"/>
      <c r="AX12" s="1055"/>
      <c r="AY12" s="1055"/>
      <c r="AZ12" s="1054"/>
      <c r="BA12" s="1053"/>
      <c r="BB12" s="1055"/>
      <c r="BC12" s="1055"/>
      <c r="BD12" s="1055"/>
      <c r="BE12" s="1054" t="s">
        <v>390</v>
      </c>
      <c r="BF12" s="1052"/>
      <c r="BG12" s="1052"/>
      <c r="BH12" s="1052"/>
      <c r="BI12" s="1052"/>
      <c r="BJ12" s="1052"/>
      <c r="BK12" s="1052"/>
      <c r="BL12" s="1052"/>
      <c r="BM12" s="1052"/>
      <c r="BN12" s="1052"/>
      <c r="BO12" s="1052"/>
      <c r="BP12" s="1052"/>
      <c r="BQ12" s="1052"/>
      <c r="BR12" s="1053"/>
      <c r="BS12" s="1054" t="s">
        <v>390</v>
      </c>
      <c r="BT12" s="1052"/>
      <c r="BU12" s="1052"/>
      <c r="BV12" s="1052"/>
      <c r="BW12" s="1052"/>
      <c r="BX12" s="1052"/>
      <c r="BY12" s="1052"/>
      <c r="BZ12" s="1052"/>
      <c r="CA12" s="1052"/>
      <c r="CB12" s="1052"/>
      <c r="CC12" s="1052"/>
      <c r="CD12" s="1052"/>
      <c r="CE12" s="1052"/>
      <c r="CF12" s="1053"/>
      <c r="CG12" s="1054" t="s">
        <v>390</v>
      </c>
      <c r="CH12" s="1052"/>
      <c r="CI12" s="1052"/>
      <c r="CJ12" s="1052"/>
      <c r="CK12" s="1052"/>
      <c r="CL12" s="1052"/>
      <c r="CM12" s="1052"/>
      <c r="CN12" s="1052"/>
      <c r="CO12" s="1052"/>
      <c r="CP12" s="1052"/>
      <c r="CQ12" s="1052"/>
      <c r="CR12" s="1052"/>
      <c r="CS12" s="1052"/>
      <c r="CT12" s="1053"/>
      <c r="CU12" s="1054" t="s">
        <v>390</v>
      </c>
      <c r="CV12" s="1052"/>
      <c r="CW12" s="1052"/>
      <c r="CX12" s="1052"/>
      <c r="CY12" s="1052"/>
      <c r="CZ12" s="1052"/>
      <c r="DA12" s="1052"/>
      <c r="DB12" s="1052"/>
      <c r="DC12" s="1052"/>
      <c r="DD12" s="1052"/>
      <c r="DE12" s="1052"/>
      <c r="DF12" s="1052"/>
      <c r="DG12" s="1052"/>
      <c r="DH12" s="1053"/>
      <c r="DI12" s="1054" t="s">
        <v>390</v>
      </c>
      <c r="DJ12" s="1052"/>
      <c r="DK12" s="1052"/>
      <c r="DL12" s="1052"/>
      <c r="DM12" s="1052"/>
      <c r="DN12" s="1052"/>
      <c r="DO12" s="1052"/>
      <c r="DP12" s="1052"/>
      <c r="DQ12" s="1052"/>
      <c r="DR12" s="1052"/>
      <c r="DS12" s="1052"/>
      <c r="DT12" s="1052"/>
      <c r="DU12" s="1052"/>
      <c r="DV12" s="1053"/>
      <c r="DW12" s="1054" t="s">
        <v>390</v>
      </c>
      <c r="DX12" s="1052"/>
      <c r="DY12" s="1052"/>
      <c r="DZ12" s="1052"/>
      <c r="EA12" s="1052"/>
      <c r="EB12" s="1052"/>
      <c r="EC12" s="1052"/>
      <c r="ED12" s="1052"/>
      <c r="EE12" s="1052"/>
      <c r="EF12" s="1052"/>
      <c r="EG12" s="1052"/>
      <c r="EH12" s="1052"/>
      <c r="EI12" s="1052"/>
      <c r="EJ12" s="1053"/>
      <c r="EK12" s="1054" t="s">
        <v>390</v>
      </c>
      <c r="EL12" s="1052"/>
      <c r="EM12" s="1052"/>
      <c r="EN12" s="1052"/>
      <c r="EO12" s="1052"/>
      <c r="EP12" s="1052"/>
      <c r="EQ12" s="1052"/>
      <c r="ER12" s="1052"/>
      <c r="ES12" s="1052"/>
      <c r="ET12" s="1052"/>
      <c r="EU12" s="1052"/>
      <c r="EV12" s="1052"/>
      <c r="EW12" s="1052"/>
      <c r="EX12" s="1053"/>
      <c r="EY12" s="1054" t="s">
        <v>390</v>
      </c>
      <c r="EZ12" s="1052"/>
      <c r="FA12" s="1052"/>
      <c r="FB12" s="1052"/>
      <c r="FC12" s="1052"/>
      <c r="FD12" s="1052"/>
      <c r="FE12" s="1052"/>
      <c r="FF12" s="1052"/>
      <c r="FG12" s="1052"/>
      <c r="FH12" s="1052"/>
      <c r="FI12" s="1052"/>
      <c r="FJ12" s="1052"/>
      <c r="FK12" s="1052"/>
      <c r="FL12" s="1053"/>
      <c r="FM12" s="1054" t="s">
        <v>390</v>
      </c>
      <c r="FN12" s="1052"/>
      <c r="FO12" s="1052"/>
      <c r="FP12" s="1052"/>
      <c r="FQ12" s="1052"/>
      <c r="FR12" s="1052"/>
      <c r="FS12" s="1052"/>
      <c r="FT12" s="1052"/>
      <c r="FU12" s="1052"/>
      <c r="FV12" s="1052"/>
      <c r="FW12" s="1052"/>
      <c r="FX12" s="1052"/>
      <c r="FY12" s="1052"/>
      <c r="FZ12" s="1053"/>
    </row>
    <row r="13" spans="1:182" ht="19.350000000000001" customHeight="1" x14ac:dyDescent="0.2">
      <c r="A13" s="489" t="s">
        <v>391</v>
      </c>
      <c r="B13" s="490" t="s">
        <v>392</v>
      </c>
      <c r="C13" s="1044" t="s">
        <v>393</v>
      </c>
      <c r="D13" s="1045"/>
      <c r="E13" s="1046"/>
      <c r="F13" s="491" t="s">
        <v>394</v>
      </c>
      <c r="G13" s="1044" t="s">
        <v>393</v>
      </c>
      <c r="H13" s="1045"/>
      <c r="I13" s="1046"/>
      <c r="J13" s="492" t="s">
        <v>394</v>
      </c>
      <c r="K13" s="1044" t="s">
        <v>393</v>
      </c>
      <c r="L13" s="1045"/>
      <c r="M13" s="1046"/>
      <c r="N13" s="493" t="s">
        <v>394</v>
      </c>
      <c r="O13" s="489" t="s">
        <v>391</v>
      </c>
      <c r="P13" s="490" t="s">
        <v>392</v>
      </c>
      <c r="Q13" s="1044" t="s">
        <v>393</v>
      </c>
      <c r="R13" s="1045"/>
      <c r="S13" s="1046"/>
      <c r="T13" s="492" t="s">
        <v>394</v>
      </c>
      <c r="U13" s="1044" t="s">
        <v>393</v>
      </c>
      <c r="V13" s="1045"/>
      <c r="W13" s="1046"/>
      <c r="X13" s="492" t="s">
        <v>394</v>
      </c>
      <c r="Y13" s="1044" t="s">
        <v>393</v>
      </c>
      <c r="Z13" s="1045"/>
      <c r="AA13" s="1046"/>
      <c r="AB13" s="491" t="s">
        <v>394</v>
      </c>
      <c r="AC13" s="489" t="s">
        <v>391</v>
      </c>
      <c r="AD13" s="490" t="s">
        <v>392</v>
      </c>
      <c r="AE13" s="1049" t="s">
        <v>393</v>
      </c>
      <c r="AF13" s="1050"/>
      <c r="AG13" s="1051"/>
      <c r="AH13" s="491" t="s">
        <v>394</v>
      </c>
      <c r="AI13" s="1044" t="s">
        <v>393</v>
      </c>
      <c r="AJ13" s="1045"/>
      <c r="AK13" s="1046"/>
      <c r="AL13" s="491" t="s">
        <v>394</v>
      </c>
      <c r="AM13" s="1044" t="s">
        <v>393</v>
      </c>
      <c r="AN13" s="1045"/>
      <c r="AO13" s="1046"/>
      <c r="AP13" s="491" t="s">
        <v>394</v>
      </c>
      <c r="AQ13" s="489" t="s">
        <v>391</v>
      </c>
      <c r="AR13" s="490" t="s">
        <v>392</v>
      </c>
      <c r="AS13" s="1044" t="s">
        <v>393</v>
      </c>
      <c r="AT13" s="1045"/>
      <c r="AU13" s="1046"/>
      <c r="AV13" s="491" t="s">
        <v>394</v>
      </c>
      <c r="AW13" s="1044" t="s">
        <v>393</v>
      </c>
      <c r="AX13" s="1045"/>
      <c r="AY13" s="1046"/>
      <c r="AZ13" s="491" t="s">
        <v>394</v>
      </c>
      <c r="BA13" s="1044" t="s">
        <v>393</v>
      </c>
      <c r="BB13" s="1045"/>
      <c r="BC13" s="1046"/>
      <c r="BD13" s="491" t="s">
        <v>394</v>
      </c>
      <c r="BE13" s="489" t="s">
        <v>391</v>
      </c>
      <c r="BF13" s="490" t="s">
        <v>392</v>
      </c>
      <c r="BG13" s="1044" t="s">
        <v>393</v>
      </c>
      <c r="BH13" s="1045"/>
      <c r="BI13" s="1046"/>
      <c r="BJ13" s="491" t="s">
        <v>394</v>
      </c>
      <c r="BK13" s="1044" t="s">
        <v>393</v>
      </c>
      <c r="BL13" s="1045"/>
      <c r="BM13" s="1046"/>
      <c r="BN13" s="491" t="s">
        <v>394</v>
      </c>
      <c r="BO13" s="1044" t="s">
        <v>393</v>
      </c>
      <c r="BP13" s="1045"/>
      <c r="BQ13" s="1046"/>
      <c r="BR13" s="493" t="s">
        <v>394</v>
      </c>
      <c r="BS13" s="489" t="s">
        <v>391</v>
      </c>
      <c r="BT13" s="490" t="s">
        <v>392</v>
      </c>
      <c r="BU13" s="1044" t="s">
        <v>393</v>
      </c>
      <c r="BV13" s="1045"/>
      <c r="BW13" s="1046"/>
      <c r="BX13" s="491" t="s">
        <v>394</v>
      </c>
      <c r="BY13" s="1049" t="s">
        <v>393</v>
      </c>
      <c r="BZ13" s="1050"/>
      <c r="CA13" s="1051"/>
      <c r="CB13" s="492" t="s">
        <v>394</v>
      </c>
      <c r="CC13" s="1047" t="s">
        <v>393</v>
      </c>
      <c r="CD13" s="1047"/>
      <c r="CE13" s="1048"/>
      <c r="CF13" s="491" t="s">
        <v>394</v>
      </c>
      <c r="CG13" s="489" t="s">
        <v>391</v>
      </c>
      <c r="CH13" s="490" t="s">
        <v>392</v>
      </c>
      <c r="CI13" s="1044" t="s">
        <v>393</v>
      </c>
      <c r="CJ13" s="1045"/>
      <c r="CK13" s="1046"/>
      <c r="CL13" s="491" t="s">
        <v>394</v>
      </c>
      <c r="CM13" s="1044" t="s">
        <v>393</v>
      </c>
      <c r="CN13" s="1045"/>
      <c r="CO13" s="1046"/>
      <c r="CP13" s="494" t="s">
        <v>394</v>
      </c>
      <c r="CQ13" s="1049" t="s">
        <v>393</v>
      </c>
      <c r="CR13" s="1050"/>
      <c r="CS13" s="1051"/>
      <c r="CT13" s="493" t="s">
        <v>394</v>
      </c>
      <c r="CU13" s="489" t="s">
        <v>391</v>
      </c>
      <c r="CV13" s="490" t="s">
        <v>392</v>
      </c>
      <c r="CW13" s="1047" t="s">
        <v>393</v>
      </c>
      <c r="CX13" s="1047"/>
      <c r="CY13" s="1048"/>
      <c r="CZ13" s="491" t="s">
        <v>394</v>
      </c>
      <c r="DA13" s="1044" t="s">
        <v>393</v>
      </c>
      <c r="DB13" s="1045"/>
      <c r="DC13" s="1046"/>
      <c r="DD13" s="491" t="s">
        <v>394</v>
      </c>
      <c r="DE13" s="1049" t="s">
        <v>393</v>
      </c>
      <c r="DF13" s="1050"/>
      <c r="DG13" s="1051"/>
      <c r="DH13" s="493" t="s">
        <v>394</v>
      </c>
      <c r="DI13" s="489" t="s">
        <v>391</v>
      </c>
      <c r="DJ13" s="490" t="s">
        <v>392</v>
      </c>
      <c r="DK13" s="1049" t="s">
        <v>393</v>
      </c>
      <c r="DL13" s="1050"/>
      <c r="DM13" s="1051"/>
      <c r="DN13" s="492" t="s">
        <v>394</v>
      </c>
      <c r="DO13" s="1047" t="s">
        <v>393</v>
      </c>
      <c r="DP13" s="1047"/>
      <c r="DQ13" s="1048"/>
      <c r="DR13" s="491" t="s">
        <v>394</v>
      </c>
      <c r="DS13" s="1044" t="s">
        <v>393</v>
      </c>
      <c r="DT13" s="1045"/>
      <c r="DU13" s="1046"/>
      <c r="DV13" s="491" t="s">
        <v>394</v>
      </c>
      <c r="DW13" s="489" t="s">
        <v>391</v>
      </c>
      <c r="DX13" s="490" t="s">
        <v>392</v>
      </c>
      <c r="DY13" s="1044" t="s">
        <v>393</v>
      </c>
      <c r="DZ13" s="1045"/>
      <c r="EA13" s="1046"/>
      <c r="EB13" s="494" t="s">
        <v>394</v>
      </c>
      <c r="EC13" s="1044" t="s">
        <v>393</v>
      </c>
      <c r="ED13" s="1045"/>
      <c r="EE13" s="1046"/>
      <c r="EF13" s="494" t="s">
        <v>394</v>
      </c>
      <c r="EG13" s="1044" t="s">
        <v>393</v>
      </c>
      <c r="EH13" s="1045"/>
      <c r="EI13" s="1046"/>
      <c r="EJ13" s="491" t="s">
        <v>394</v>
      </c>
      <c r="EK13" s="489" t="s">
        <v>391</v>
      </c>
      <c r="EL13" s="490" t="s">
        <v>392</v>
      </c>
      <c r="EM13" s="1044" t="s">
        <v>393</v>
      </c>
      <c r="EN13" s="1045"/>
      <c r="EO13" s="1046"/>
      <c r="EP13" s="494" t="s">
        <v>394</v>
      </c>
      <c r="EQ13" s="1044" t="s">
        <v>393</v>
      </c>
      <c r="ER13" s="1045"/>
      <c r="ES13" s="1046"/>
      <c r="ET13" s="494" t="s">
        <v>394</v>
      </c>
      <c r="EU13" s="1044" t="s">
        <v>393</v>
      </c>
      <c r="EV13" s="1045"/>
      <c r="EW13" s="1046"/>
      <c r="EX13" s="491" t="s">
        <v>394</v>
      </c>
      <c r="EY13" s="489" t="s">
        <v>391</v>
      </c>
      <c r="EZ13" s="490" t="s">
        <v>392</v>
      </c>
      <c r="FA13" s="1044" t="s">
        <v>393</v>
      </c>
      <c r="FB13" s="1045"/>
      <c r="FC13" s="1046"/>
      <c r="FD13" s="494" t="s">
        <v>394</v>
      </c>
      <c r="FE13" s="1044" t="s">
        <v>393</v>
      </c>
      <c r="FF13" s="1045"/>
      <c r="FG13" s="1046"/>
      <c r="FH13" s="494" t="s">
        <v>394</v>
      </c>
      <c r="FI13" s="1044" t="s">
        <v>393</v>
      </c>
      <c r="FJ13" s="1045"/>
      <c r="FK13" s="1046"/>
      <c r="FL13" s="491" t="s">
        <v>394</v>
      </c>
      <c r="FM13" s="489" t="s">
        <v>391</v>
      </c>
      <c r="FN13" s="490" t="s">
        <v>392</v>
      </c>
      <c r="FO13" s="1044" t="s">
        <v>393</v>
      </c>
      <c r="FP13" s="1045"/>
      <c r="FQ13" s="1046"/>
      <c r="FR13" s="494" t="s">
        <v>394</v>
      </c>
      <c r="FS13" s="1044" t="s">
        <v>393</v>
      </c>
      <c r="FT13" s="1045"/>
      <c r="FU13" s="1046"/>
      <c r="FV13" s="494" t="s">
        <v>394</v>
      </c>
      <c r="FW13" s="1044" t="s">
        <v>393</v>
      </c>
      <c r="FX13" s="1045"/>
      <c r="FY13" s="1046"/>
      <c r="FZ13" s="491" t="s">
        <v>394</v>
      </c>
    </row>
    <row r="14" spans="1:182" ht="30" customHeight="1" x14ac:dyDescent="0.2">
      <c r="A14" s="495" t="s">
        <v>395</v>
      </c>
      <c r="B14" s="496" t="s">
        <v>396</v>
      </c>
      <c r="C14" s="499" t="s">
        <v>397</v>
      </c>
      <c r="D14" s="499" t="s">
        <v>398</v>
      </c>
      <c r="E14" s="499" t="s">
        <v>530</v>
      </c>
      <c r="F14" s="496" t="s">
        <v>400</v>
      </c>
      <c r="G14" s="499" t="s">
        <v>397</v>
      </c>
      <c r="H14" s="499" t="s">
        <v>398</v>
      </c>
      <c r="I14" s="499" t="s">
        <v>530</v>
      </c>
      <c r="J14" s="496" t="s">
        <v>400</v>
      </c>
      <c r="K14" s="499" t="s">
        <v>397</v>
      </c>
      <c r="L14" s="499" t="s">
        <v>398</v>
      </c>
      <c r="M14" s="499" t="s">
        <v>530</v>
      </c>
      <c r="N14" s="498" t="s">
        <v>400</v>
      </c>
      <c r="O14" s="495" t="s">
        <v>395</v>
      </c>
      <c r="P14" s="496" t="s">
        <v>396</v>
      </c>
      <c r="Q14" s="499" t="s">
        <v>397</v>
      </c>
      <c r="R14" s="499" t="s">
        <v>398</v>
      </c>
      <c r="S14" s="499" t="s">
        <v>530</v>
      </c>
      <c r="T14" s="496" t="s">
        <v>400</v>
      </c>
      <c r="U14" s="499" t="s">
        <v>397</v>
      </c>
      <c r="V14" s="499" t="s">
        <v>398</v>
      </c>
      <c r="W14" s="499" t="s">
        <v>530</v>
      </c>
      <c r="X14" s="496" t="s">
        <v>400</v>
      </c>
      <c r="Y14" s="499" t="s">
        <v>397</v>
      </c>
      <c r="Z14" s="499" t="s">
        <v>398</v>
      </c>
      <c r="AA14" s="499" t="s">
        <v>530</v>
      </c>
      <c r="AB14" s="498" t="s">
        <v>400</v>
      </c>
      <c r="AC14" s="495" t="s">
        <v>395</v>
      </c>
      <c r="AD14" s="496" t="s">
        <v>396</v>
      </c>
      <c r="AE14" s="499" t="s">
        <v>397</v>
      </c>
      <c r="AF14" s="499" t="s">
        <v>398</v>
      </c>
      <c r="AG14" s="499" t="s">
        <v>530</v>
      </c>
      <c r="AH14" s="496" t="s">
        <v>400</v>
      </c>
      <c r="AI14" s="499" t="s">
        <v>397</v>
      </c>
      <c r="AJ14" s="499" t="s">
        <v>398</v>
      </c>
      <c r="AK14" s="499" t="s">
        <v>530</v>
      </c>
      <c r="AL14" s="496" t="s">
        <v>400</v>
      </c>
      <c r="AM14" s="499" t="s">
        <v>397</v>
      </c>
      <c r="AN14" s="499" t="s">
        <v>398</v>
      </c>
      <c r="AO14" s="499" t="s">
        <v>530</v>
      </c>
      <c r="AP14" s="498" t="s">
        <v>400</v>
      </c>
      <c r="AQ14" s="495" t="s">
        <v>395</v>
      </c>
      <c r="AR14" s="496" t="s">
        <v>396</v>
      </c>
      <c r="AS14" s="499" t="s">
        <v>397</v>
      </c>
      <c r="AT14" s="499" t="s">
        <v>398</v>
      </c>
      <c r="AU14" s="499" t="s">
        <v>530</v>
      </c>
      <c r="AV14" s="496" t="s">
        <v>400</v>
      </c>
      <c r="AW14" s="499" t="s">
        <v>397</v>
      </c>
      <c r="AX14" s="499" t="s">
        <v>398</v>
      </c>
      <c r="AY14" s="499" t="s">
        <v>530</v>
      </c>
      <c r="AZ14" s="496" t="s">
        <v>400</v>
      </c>
      <c r="BA14" s="499" t="s">
        <v>397</v>
      </c>
      <c r="BB14" s="499" t="s">
        <v>398</v>
      </c>
      <c r="BC14" s="499" t="s">
        <v>530</v>
      </c>
      <c r="BD14" s="498" t="s">
        <v>400</v>
      </c>
      <c r="BE14" s="495" t="s">
        <v>395</v>
      </c>
      <c r="BF14" s="496" t="s">
        <v>396</v>
      </c>
      <c r="BG14" s="499" t="s">
        <v>397</v>
      </c>
      <c r="BH14" s="499" t="s">
        <v>398</v>
      </c>
      <c r="BI14" s="499" t="s">
        <v>530</v>
      </c>
      <c r="BJ14" s="496" t="s">
        <v>400</v>
      </c>
      <c r="BK14" s="499" t="s">
        <v>397</v>
      </c>
      <c r="BL14" s="499" t="s">
        <v>398</v>
      </c>
      <c r="BM14" s="499" t="s">
        <v>530</v>
      </c>
      <c r="BN14" s="496" t="s">
        <v>400</v>
      </c>
      <c r="BO14" s="499" t="s">
        <v>397</v>
      </c>
      <c r="BP14" s="499" t="s">
        <v>398</v>
      </c>
      <c r="BQ14" s="499" t="s">
        <v>530</v>
      </c>
      <c r="BR14" s="498" t="s">
        <v>400</v>
      </c>
      <c r="BS14" s="495" t="s">
        <v>395</v>
      </c>
      <c r="BT14" s="496" t="s">
        <v>396</v>
      </c>
      <c r="BU14" s="499" t="s">
        <v>397</v>
      </c>
      <c r="BV14" s="499" t="s">
        <v>398</v>
      </c>
      <c r="BW14" s="499" t="s">
        <v>530</v>
      </c>
      <c r="BX14" s="496" t="s">
        <v>400</v>
      </c>
      <c r="BY14" s="499" t="s">
        <v>397</v>
      </c>
      <c r="BZ14" s="499" t="s">
        <v>398</v>
      </c>
      <c r="CA14" s="499" t="s">
        <v>530</v>
      </c>
      <c r="CB14" s="496" t="s">
        <v>400</v>
      </c>
      <c r="CC14" s="499" t="s">
        <v>397</v>
      </c>
      <c r="CD14" s="499" t="s">
        <v>398</v>
      </c>
      <c r="CE14" s="499" t="s">
        <v>530</v>
      </c>
      <c r="CF14" s="498" t="s">
        <v>400</v>
      </c>
      <c r="CG14" s="495" t="s">
        <v>395</v>
      </c>
      <c r="CH14" s="496" t="s">
        <v>396</v>
      </c>
      <c r="CI14" s="499" t="s">
        <v>397</v>
      </c>
      <c r="CJ14" s="499" t="s">
        <v>398</v>
      </c>
      <c r="CK14" s="499" t="s">
        <v>530</v>
      </c>
      <c r="CL14" s="496" t="s">
        <v>400</v>
      </c>
      <c r="CM14" s="499" t="s">
        <v>397</v>
      </c>
      <c r="CN14" s="499" t="s">
        <v>398</v>
      </c>
      <c r="CO14" s="499" t="s">
        <v>530</v>
      </c>
      <c r="CP14" s="496" t="s">
        <v>400</v>
      </c>
      <c r="CQ14" s="499" t="s">
        <v>397</v>
      </c>
      <c r="CR14" s="499" t="s">
        <v>398</v>
      </c>
      <c r="CS14" s="499" t="s">
        <v>530</v>
      </c>
      <c r="CT14" s="498" t="s">
        <v>400</v>
      </c>
      <c r="CU14" s="495" t="s">
        <v>395</v>
      </c>
      <c r="CV14" s="496" t="s">
        <v>396</v>
      </c>
      <c r="CW14" s="499" t="s">
        <v>397</v>
      </c>
      <c r="CX14" s="499" t="s">
        <v>398</v>
      </c>
      <c r="CY14" s="499" t="s">
        <v>530</v>
      </c>
      <c r="CZ14" s="496" t="s">
        <v>400</v>
      </c>
      <c r="DA14" s="499" t="s">
        <v>397</v>
      </c>
      <c r="DB14" s="499" t="s">
        <v>398</v>
      </c>
      <c r="DC14" s="499" t="s">
        <v>530</v>
      </c>
      <c r="DD14" s="496" t="s">
        <v>400</v>
      </c>
      <c r="DE14" s="499" t="s">
        <v>397</v>
      </c>
      <c r="DF14" s="499" t="s">
        <v>398</v>
      </c>
      <c r="DG14" s="499" t="s">
        <v>530</v>
      </c>
      <c r="DH14" s="498" t="s">
        <v>400</v>
      </c>
      <c r="DI14" s="495" t="s">
        <v>395</v>
      </c>
      <c r="DJ14" s="496" t="s">
        <v>396</v>
      </c>
      <c r="DK14" s="499" t="s">
        <v>397</v>
      </c>
      <c r="DL14" s="499" t="s">
        <v>398</v>
      </c>
      <c r="DM14" s="499" t="s">
        <v>530</v>
      </c>
      <c r="DN14" s="496" t="s">
        <v>400</v>
      </c>
      <c r="DO14" s="499" t="s">
        <v>397</v>
      </c>
      <c r="DP14" s="499" t="s">
        <v>398</v>
      </c>
      <c r="DQ14" s="499" t="s">
        <v>530</v>
      </c>
      <c r="DR14" s="496" t="s">
        <v>400</v>
      </c>
      <c r="DS14" s="499" t="s">
        <v>397</v>
      </c>
      <c r="DT14" s="499" t="s">
        <v>398</v>
      </c>
      <c r="DU14" s="499" t="s">
        <v>530</v>
      </c>
      <c r="DV14" s="498" t="s">
        <v>400</v>
      </c>
      <c r="DW14" s="495" t="s">
        <v>395</v>
      </c>
      <c r="DX14" s="496" t="s">
        <v>396</v>
      </c>
      <c r="DY14" s="496" t="s">
        <v>397</v>
      </c>
      <c r="DZ14" s="496" t="s">
        <v>398</v>
      </c>
      <c r="EA14" s="499" t="s">
        <v>530</v>
      </c>
      <c r="EB14" s="496" t="s">
        <v>400</v>
      </c>
      <c r="EC14" s="496" t="s">
        <v>397</v>
      </c>
      <c r="ED14" s="496" t="s">
        <v>398</v>
      </c>
      <c r="EE14" s="499" t="s">
        <v>530</v>
      </c>
      <c r="EF14" s="496" t="s">
        <v>400</v>
      </c>
      <c r="EG14" s="496" t="s">
        <v>397</v>
      </c>
      <c r="EH14" s="496" t="s">
        <v>398</v>
      </c>
      <c r="EI14" s="499" t="s">
        <v>530</v>
      </c>
      <c r="EJ14" s="498" t="s">
        <v>400</v>
      </c>
      <c r="EK14" s="495" t="s">
        <v>395</v>
      </c>
      <c r="EL14" s="496" t="s">
        <v>396</v>
      </c>
      <c r="EM14" s="496" t="s">
        <v>397</v>
      </c>
      <c r="EN14" s="496" t="s">
        <v>398</v>
      </c>
      <c r="EO14" s="499" t="s">
        <v>530</v>
      </c>
      <c r="EP14" s="496" t="s">
        <v>400</v>
      </c>
      <c r="EQ14" s="496" t="s">
        <v>397</v>
      </c>
      <c r="ER14" s="496" t="s">
        <v>398</v>
      </c>
      <c r="ES14" s="499" t="s">
        <v>530</v>
      </c>
      <c r="ET14" s="496" t="s">
        <v>400</v>
      </c>
      <c r="EU14" s="496" t="s">
        <v>397</v>
      </c>
      <c r="EV14" s="496" t="s">
        <v>398</v>
      </c>
      <c r="EW14" s="499" t="s">
        <v>530</v>
      </c>
      <c r="EX14" s="498" t="s">
        <v>400</v>
      </c>
      <c r="EY14" s="495" t="s">
        <v>395</v>
      </c>
      <c r="EZ14" s="496" t="s">
        <v>396</v>
      </c>
      <c r="FA14" s="496" t="s">
        <v>397</v>
      </c>
      <c r="FB14" s="496" t="s">
        <v>398</v>
      </c>
      <c r="FC14" s="499" t="s">
        <v>530</v>
      </c>
      <c r="FD14" s="496" t="s">
        <v>400</v>
      </c>
      <c r="FE14" s="496" t="s">
        <v>397</v>
      </c>
      <c r="FF14" s="496" t="s">
        <v>398</v>
      </c>
      <c r="FG14" s="499" t="s">
        <v>530</v>
      </c>
      <c r="FH14" s="496" t="s">
        <v>400</v>
      </c>
      <c r="FI14" s="496" t="s">
        <v>397</v>
      </c>
      <c r="FJ14" s="496" t="s">
        <v>398</v>
      </c>
      <c r="FK14" s="499" t="s">
        <v>530</v>
      </c>
      <c r="FL14" s="498" t="s">
        <v>400</v>
      </c>
      <c r="FM14" s="495" t="s">
        <v>395</v>
      </c>
      <c r="FN14" s="496" t="s">
        <v>396</v>
      </c>
      <c r="FO14" s="496" t="s">
        <v>397</v>
      </c>
      <c r="FP14" s="496" t="s">
        <v>398</v>
      </c>
      <c r="FQ14" s="499" t="s">
        <v>530</v>
      </c>
      <c r="FR14" s="496" t="s">
        <v>400</v>
      </c>
      <c r="FS14" s="496" t="s">
        <v>397</v>
      </c>
      <c r="FT14" s="496" t="s">
        <v>398</v>
      </c>
      <c r="FU14" s="499" t="s">
        <v>530</v>
      </c>
      <c r="FV14" s="496" t="s">
        <v>400</v>
      </c>
      <c r="FW14" s="496" t="s">
        <v>397</v>
      </c>
      <c r="FX14" s="496" t="s">
        <v>398</v>
      </c>
      <c r="FY14" s="499" t="s">
        <v>530</v>
      </c>
      <c r="FZ14" s="498" t="s">
        <v>400</v>
      </c>
    </row>
    <row r="15" spans="1:182" ht="19.350000000000001" customHeight="1" x14ac:dyDescent="0.2">
      <c r="A15" s="495" t="s">
        <v>9</v>
      </c>
      <c r="B15" s="496"/>
      <c r="C15" s="545">
        <f>'EQUI 4'!H36+'Combustion (Proposed)'!L51</f>
        <v>1.4719705808826156</v>
      </c>
      <c r="D15" s="500">
        <f>'EQUI 4'!J36+'Combustion (Proposed)'!M51</f>
        <v>59.826548791324676</v>
      </c>
      <c r="E15" s="500">
        <f>'EQUI 4'!I36+'Combustion (Proposed)'!N51</f>
        <v>6.4472311442658565</v>
      </c>
      <c r="F15" s="496"/>
      <c r="G15" s="500">
        <f>'EQUI 20'!E52</f>
        <v>1.0565</v>
      </c>
      <c r="H15" s="500">
        <f>'EQUI 20'!F52</f>
        <v>46.274699999999996</v>
      </c>
      <c r="I15" s="500">
        <f>'EQUI 20'!G52</f>
        <v>4.6274699999999998</v>
      </c>
      <c r="J15" s="496"/>
      <c r="K15" s="546">
        <f>'EQUI 21'!M9</f>
        <v>7.3000000000000061E-3</v>
      </c>
      <c r="L15" s="500">
        <f>'EQUI 21'!O9</f>
        <v>3.1974</v>
      </c>
      <c r="M15" s="500">
        <f>'EQUI 21'!N9</f>
        <v>3.1974000000000023E-2</v>
      </c>
      <c r="N15" s="498"/>
      <c r="O15" s="495" t="s">
        <v>9</v>
      </c>
      <c r="P15" s="496"/>
      <c r="Q15" s="500">
        <f>'Combustion (Proposed)'!O116</f>
        <v>0.41437091532445264</v>
      </c>
      <c r="R15" s="500">
        <f>'Combustion (Proposed)'!P116</f>
        <v>1.8149446091211026</v>
      </c>
      <c r="S15" s="500">
        <f>'Combustion (Proposed)'!Q116</f>
        <v>1.8149446091211026</v>
      </c>
      <c r="T15" s="496"/>
      <c r="U15" s="500">
        <f>'EQUI 1, EQUI 2'!M9</f>
        <v>7.3000000000000065E-2</v>
      </c>
      <c r="V15" s="500">
        <f>'EQUI 1, EQUI 2'!O9</f>
        <v>31.974</v>
      </c>
      <c r="W15" s="500">
        <f>'EQUI 1, EQUI 2'!N9</f>
        <v>0.3197400000000003</v>
      </c>
      <c r="X15" s="496"/>
      <c r="Y15" s="500">
        <f>'EQUI 1, EQUI 2'!M20</f>
        <v>7.3000000000000065E-2</v>
      </c>
      <c r="Z15" s="500">
        <f>'EQUI 1, EQUI 2'!O20</f>
        <v>31.974</v>
      </c>
      <c r="AA15" s="500">
        <f>'EQUI 1, EQUI 2'!N20</f>
        <v>0.3197400000000003</v>
      </c>
      <c r="AB15" s="498"/>
      <c r="AC15" s="495" t="s">
        <v>9</v>
      </c>
      <c r="AD15" s="496"/>
      <c r="AE15" s="501">
        <f>'EQUI 3, EQUI 16, EQUI 17'!H9</f>
        <v>0.33500000000000002</v>
      </c>
      <c r="AF15" s="501">
        <f>'EQUI 3, EQUI 16, EQUI 17'!J9</f>
        <v>14.673</v>
      </c>
      <c r="AG15" s="501">
        <f>'EQUI 3, EQUI 16, EQUI 17'!I9</f>
        <v>1.4673</v>
      </c>
      <c r="AH15" s="496"/>
      <c r="AI15" s="500">
        <f>'EQUI 3, EQUI 16, EQUI 17'!H19</f>
        <v>1</v>
      </c>
      <c r="AJ15" s="500">
        <f>'EQUI 3, EQUI 16, EQUI 17'!J19</f>
        <v>43.8</v>
      </c>
      <c r="AK15" s="500">
        <f>'EQUI 3, EQUI 16, EQUI 17'!I19</f>
        <v>4.38</v>
      </c>
      <c r="AL15" s="496"/>
      <c r="AM15" s="500">
        <f>'EQUI 3, EQUI 16, EQUI 17'!H31</f>
        <v>1</v>
      </c>
      <c r="AN15" s="500">
        <f>'EQUI 3, EQUI 16, EQUI 17'!J31</f>
        <v>43.8</v>
      </c>
      <c r="AO15" s="500">
        <f>'EQUI 3, EQUI 16, EQUI 17'!I31</f>
        <v>4.38</v>
      </c>
      <c r="AP15" s="498"/>
      <c r="AQ15" s="495" t="s">
        <v>9</v>
      </c>
      <c r="AR15" s="496"/>
      <c r="AS15" s="500">
        <f>'EQUI 18'!M9</f>
        <v>9.1250000000000081E-3</v>
      </c>
      <c r="AT15" s="500">
        <f>'EQUI 18'!O9</f>
        <v>3.99675</v>
      </c>
      <c r="AU15" s="500">
        <f>'EQUI 18'!N9</f>
        <v>3.9967500000000038E-2</v>
      </c>
      <c r="AV15" s="496"/>
      <c r="AW15" s="500">
        <f>'EQUI 66, EQUI 8, EQUI 9'!H8</f>
        <v>1.5157200000000002</v>
      </c>
      <c r="AX15" s="500">
        <f>'EQUI 66, EQUI 8, EQUI 9'!J8</f>
        <v>66.388536000000002</v>
      </c>
      <c r="AY15" s="500">
        <f>'EQUI 66, EQUI 8, EQUI 9'!I8</f>
        <v>6.6388536000000009</v>
      </c>
      <c r="AZ15" s="496"/>
      <c r="BA15" s="500">
        <f>'EQUI 66, EQUI 8, EQUI 9'!H20</f>
        <v>0.42868000000000006</v>
      </c>
      <c r="BB15" s="500">
        <f>'EQUI 66, EQUI 8, EQUI 9'!J20</f>
        <v>18.776184000000001</v>
      </c>
      <c r="BC15" s="500">
        <f>'EQUI 66, EQUI 8, EQUI 9'!I20</f>
        <v>1.8776184000000002</v>
      </c>
      <c r="BD15" s="498"/>
      <c r="BE15" s="495" t="s">
        <v>9</v>
      </c>
      <c r="BF15" s="496"/>
      <c r="BG15" s="500">
        <f>'EQUI 66, EQUI 8, EQUI 9'!H32</f>
        <v>0.16515500000000002</v>
      </c>
      <c r="BH15" s="500">
        <f>'EQUI 66, EQUI 8, EQUI 9'!J32</f>
        <v>7.2337889999999998</v>
      </c>
      <c r="BI15" s="500">
        <f>'EQUI 66, EQUI 8, EQUI 9'!I32</f>
        <v>0.72337890000000005</v>
      </c>
      <c r="BJ15" s="496"/>
      <c r="BK15" s="500">
        <f>'Combustion (Proposed)'!O184</f>
        <v>3.8498625049105391</v>
      </c>
      <c r="BL15" s="500">
        <f>'Combustion (Proposed)'!P184</f>
        <v>16.86239777150816</v>
      </c>
      <c r="BM15" s="500">
        <f>'Combustion (Proposed)'!Q184</f>
        <v>16.86239777150816</v>
      </c>
      <c r="BN15" s="496"/>
      <c r="BO15" s="263">
        <f>'FS001, FS002'!I36</f>
        <v>0.1175833736112491</v>
      </c>
      <c r="BP15" s="263">
        <f>'FS001, FS002'!L36</f>
        <v>0.51501517641727101</v>
      </c>
      <c r="BQ15" s="263">
        <f>BP15</f>
        <v>0.51501517641727101</v>
      </c>
      <c r="BR15" s="502"/>
      <c r="BS15" s="495" t="s">
        <v>9</v>
      </c>
      <c r="BT15" s="496"/>
      <c r="BU15" s="496">
        <f>'FS001, FS002'!H58</f>
        <v>5.675531157853958E-2</v>
      </c>
      <c r="BV15" s="496">
        <f>'FS001, FS002'!K58</f>
        <v>0.24858826471400339</v>
      </c>
      <c r="BW15" s="496">
        <f>BV15</f>
        <v>0.24858826471400339</v>
      </c>
      <c r="BX15" s="496"/>
      <c r="BY15" s="499"/>
      <c r="BZ15" s="499"/>
      <c r="CA15" s="499"/>
      <c r="CB15" s="496"/>
      <c r="CC15" s="499"/>
      <c r="CD15" s="499"/>
      <c r="CE15" s="499"/>
      <c r="CF15" s="498"/>
      <c r="CG15" s="495" t="s">
        <v>9</v>
      </c>
      <c r="CH15" s="496"/>
      <c r="CI15" s="496"/>
      <c r="CJ15" s="496"/>
      <c r="CK15" s="496"/>
      <c r="CL15" s="496"/>
      <c r="CM15" s="496"/>
      <c r="CN15" s="496"/>
      <c r="CO15" s="496"/>
      <c r="CP15" s="496"/>
      <c r="CQ15" s="499"/>
      <c r="CR15" s="499"/>
      <c r="CS15" s="499"/>
      <c r="CT15" s="498"/>
      <c r="CU15" s="495" t="s">
        <v>9</v>
      </c>
      <c r="CV15" s="496"/>
      <c r="CW15" s="499"/>
      <c r="CX15" s="499"/>
      <c r="CY15" s="499"/>
      <c r="CZ15" s="496"/>
      <c r="DA15" s="496"/>
      <c r="DB15" s="496"/>
      <c r="DC15" s="496"/>
      <c r="DD15" s="496"/>
      <c r="DE15" s="499"/>
      <c r="DF15" s="499"/>
      <c r="DG15" s="499"/>
      <c r="DH15" s="498"/>
      <c r="DI15" s="495" t="s">
        <v>9</v>
      </c>
      <c r="DJ15" s="496"/>
      <c r="DK15" s="499"/>
      <c r="DL15" s="499"/>
      <c r="DM15" s="499"/>
      <c r="DN15" s="496"/>
      <c r="DO15" s="499"/>
      <c r="DP15" s="499"/>
      <c r="DQ15" s="499"/>
      <c r="DR15" s="496"/>
      <c r="DS15" s="496"/>
      <c r="DT15" s="496"/>
      <c r="DU15" s="496"/>
      <c r="DV15" s="498"/>
      <c r="DW15" s="495" t="s">
        <v>9</v>
      </c>
      <c r="DX15" s="496"/>
      <c r="DY15" s="496"/>
      <c r="DZ15" s="496"/>
      <c r="EA15" s="496"/>
      <c r="EB15" s="496"/>
      <c r="EC15" s="500">
        <f>'[1]PTE Summary'!F26</f>
        <v>0.30910141912373779</v>
      </c>
      <c r="ED15" s="500">
        <f>'[1]PTE Summary'!G26</f>
        <v>1.0414340121245935</v>
      </c>
      <c r="EE15" s="500">
        <f>'[1]PTE Summary'!H26</f>
        <v>1.0414340121245935</v>
      </c>
      <c r="EF15" s="496"/>
      <c r="EG15" s="496"/>
      <c r="EH15" s="496"/>
      <c r="EI15" s="496"/>
      <c r="EJ15" s="498"/>
      <c r="EK15" s="495" t="s">
        <v>9</v>
      </c>
      <c r="EL15" s="496"/>
      <c r="EM15" s="500"/>
      <c r="EN15" s="500"/>
      <c r="EO15" s="500"/>
      <c r="EP15" s="497"/>
      <c r="EQ15" s="500"/>
      <c r="ER15" s="500"/>
      <c r="ES15" s="500"/>
      <c r="ET15" s="497"/>
      <c r="EU15" s="500"/>
      <c r="EV15" s="500"/>
      <c r="EW15" s="500"/>
      <c r="EX15" s="503"/>
      <c r="EY15" s="495" t="s">
        <v>9</v>
      </c>
      <c r="EZ15" s="496"/>
      <c r="FA15" s="496"/>
      <c r="FB15" s="496"/>
      <c r="FC15" s="496"/>
      <c r="FD15" s="497"/>
      <c r="FE15" s="500"/>
      <c r="FF15" s="500"/>
      <c r="FG15" s="500"/>
      <c r="FH15" s="497"/>
      <c r="FI15" s="500"/>
      <c r="FJ15" s="500"/>
      <c r="FK15" s="500"/>
      <c r="FL15" s="503"/>
      <c r="FM15" s="495" t="s">
        <v>9</v>
      </c>
      <c r="FN15" s="496"/>
      <c r="FO15" s="500"/>
      <c r="FP15" s="500"/>
      <c r="FQ15" s="500"/>
      <c r="FR15" s="497"/>
      <c r="FS15" s="496"/>
      <c r="FT15" s="496"/>
      <c r="FU15" s="496"/>
      <c r="FV15" s="497"/>
      <c r="FW15" s="496"/>
      <c r="FX15" s="496"/>
      <c r="FY15" s="496"/>
      <c r="FZ15" s="503"/>
    </row>
    <row r="16" spans="1:182" ht="19.350000000000001" customHeight="1" x14ac:dyDescent="0.2">
      <c r="A16" s="495" t="s">
        <v>149</v>
      </c>
      <c r="B16" s="496"/>
      <c r="C16" s="545">
        <f>'EQUI 4'!H37+'Combustion (Proposed)'!L52</f>
        <v>1.302139923574158</v>
      </c>
      <c r="D16" s="500">
        <f>'EQUI 4'!J37+'Combustion (Proposed)'!M52</f>
        <v>53.795772865254804</v>
      </c>
      <c r="E16" s="500">
        <f>'EQUI 4'!I37+'Combustion (Proposed)'!N52</f>
        <v>5.7033728652548117</v>
      </c>
      <c r="F16" s="496"/>
      <c r="G16" s="500">
        <f>'EQUI 20'!E53</f>
        <v>1.017075</v>
      </c>
      <c r="H16" s="500">
        <f>'EQUI 20'!F53</f>
        <v>44.547884999999994</v>
      </c>
      <c r="I16" s="500">
        <f>'EQUI 20'!G53</f>
        <v>4.4547884999999994</v>
      </c>
      <c r="J16" s="496"/>
      <c r="K16" s="546">
        <f>'EQUI 21'!M10</f>
        <v>4.7000000000000037E-3</v>
      </c>
      <c r="L16" s="500">
        <f>'EQUI 21'!O10</f>
        <v>2.0585999999999998</v>
      </c>
      <c r="M16" s="500">
        <f>'EQUI 21'!N10</f>
        <v>2.0586000000000014E-2</v>
      </c>
      <c r="N16" s="498"/>
      <c r="O16" s="495" t="s">
        <v>149</v>
      </c>
      <c r="P16" s="496"/>
      <c r="Q16" s="500">
        <f>'Combustion (Proposed)'!O117</f>
        <v>0.28880397128673974</v>
      </c>
      <c r="R16" s="500">
        <f>'Combustion (Proposed)'!P117</f>
        <v>1.2649613942359201</v>
      </c>
      <c r="S16" s="500">
        <f>'Combustion (Proposed)'!Q117</f>
        <v>1.2649613942359201</v>
      </c>
      <c r="T16" s="496"/>
      <c r="U16" s="500">
        <f>'EQUI 1, EQUI 2'!M10</f>
        <v>4.7000000000000035E-2</v>
      </c>
      <c r="V16" s="500">
        <f>'EQUI 1, EQUI 2'!O10</f>
        <v>20.585999999999995</v>
      </c>
      <c r="W16" s="500">
        <f>'EQUI 1, EQUI 2'!N10</f>
        <v>0.20586000000000015</v>
      </c>
      <c r="X16" s="496"/>
      <c r="Y16" s="500">
        <f>'EQUI 1, EQUI 2'!M21</f>
        <v>4.7000000000000035E-2</v>
      </c>
      <c r="Z16" s="500">
        <f>'EQUI 1, EQUI 2'!O21</f>
        <v>20.585999999999995</v>
      </c>
      <c r="AA16" s="500">
        <f>'EQUI 1, EQUI 2'!N21</f>
        <v>0.20586000000000015</v>
      </c>
      <c r="AB16" s="498"/>
      <c r="AC16" s="495" t="s">
        <v>149</v>
      </c>
      <c r="AD16" s="496"/>
      <c r="AE16" s="501">
        <f>'EQUI 3, EQUI 16, EQUI 17'!H10</f>
        <v>0.28475</v>
      </c>
      <c r="AF16" s="501">
        <f>'EQUI 3, EQUI 16, EQUI 17'!J10</f>
        <v>12.472050000000001</v>
      </c>
      <c r="AG16" s="501">
        <f>'EQUI 3, EQUI 16, EQUI 17'!I10</f>
        <v>1.2472049999999999</v>
      </c>
      <c r="AH16" s="496"/>
      <c r="AI16" s="500">
        <f>'EQUI 3, EQUI 16, EQUI 17'!H20</f>
        <v>0.89500000000000002</v>
      </c>
      <c r="AJ16" s="500">
        <f>'EQUI 3, EQUI 16, EQUI 17'!J20</f>
        <v>39.200999999999993</v>
      </c>
      <c r="AK16" s="500">
        <f>'EQUI 3, EQUI 16, EQUI 17'!I20</f>
        <v>3.9201000000000001</v>
      </c>
      <c r="AL16" s="496"/>
      <c r="AM16" s="500">
        <f>'EQUI 3, EQUI 16, EQUI 17'!H32</f>
        <v>0.89500000000000002</v>
      </c>
      <c r="AN16" s="500">
        <f>'EQUI 3, EQUI 16, EQUI 17'!J32</f>
        <v>39.200999999999993</v>
      </c>
      <c r="AO16" s="500">
        <f>'EQUI 3, EQUI 16, EQUI 17'!I32</f>
        <v>3.9201000000000001</v>
      </c>
      <c r="AP16" s="498"/>
      <c r="AQ16" s="495" t="s">
        <v>149</v>
      </c>
      <c r="AR16" s="496"/>
      <c r="AS16" s="500">
        <f>'EQUI 18'!M10</f>
        <v>5.8750000000000044E-3</v>
      </c>
      <c r="AT16" s="500">
        <f>'EQUI 18'!O10</f>
        <v>2.5732499999999994</v>
      </c>
      <c r="AU16" s="500">
        <f>'EQUI 18'!N10</f>
        <v>2.5732500000000019E-2</v>
      </c>
      <c r="AV16" s="496"/>
      <c r="AW16" s="500">
        <f>'EQUI 66, EQUI 8, EQUI 9'!H9</f>
        <v>1.3565693999999999</v>
      </c>
      <c r="AX16" s="500">
        <f>'EQUI 66, EQUI 8, EQUI 9'!J9</f>
        <v>59.417739719999993</v>
      </c>
      <c r="AY16" s="500">
        <f>'EQUI 66, EQUI 8, EQUI 9'!I9</f>
        <v>5.9417739719999991</v>
      </c>
      <c r="AZ16" s="496"/>
      <c r="BA16" s="500">
        <f>'EQUI 66, EQUI 8, EQUI 9'!H21</f>
        <v>0.38366860000000003</v>
      </c>
      <c r="BB16" s="500">
        <f>'EQUI 66, EQUI 8, EQUI 9'!J21</f>
        <v>16.804684679999998</v>
      </c>
      <c r="BC16" s="500">
        <f>'EQUI 66, EQUI 8, EQUI 9'!I21</f>
        <v>1.6804684680000002</v>
      </c>
      <c r="BD16" s="498"/>
      <c r="BE16" s="495" t="s">
        <v>149</v>
      </c>
      <c r="BF16" s="496"/>
      <c r="BG16" s="500">
        <f>'EQUI 66, EQUI 8, EQUI 9'!H33</f>
        <v>0.14038175</v>
      </c>
      <c r="BH16" s="500">
        <f>'EQUI 66, EQUI 8, EQUI 9'!J33</f>
        <v>6.1487206499999996</v>
      </c>
      <c r="BI16" s="500">
        <f>'EQUI 66, EQUI 8, EQUI 9'!I33</f>
        <v>0.61487206500000002</v>
      </c>
      <c r="BJ16" s="496"/>
      <c r="BK16" s="500">
        <f>'Combustion (Proposed)'!O185</f>
        <v>2.379915003035606</v>
      </c>
      <c r="BL16" s="500">
        <f>'Combustion (Proposed)'!P185</f>
        <v>10.424027713295954</v>
      </c>
      <c r="BM16" s="500">
        <f>'Combustion (Proposed)'!Q185</f>
        <v>10.424027713295954</v>
      </c>
      <c r="BN16" s="496"/>
      <c r="BO16" s="263">
        <f>'FS001, FS002'!J36</f>
        <v>2.2553674470797952E-2</v>
      </c>
      <c r="BP16" s="263">
        <f>'FS001, FS002'!M36</f>
        <v>9.878509418209501E-2</v>
      </c>
      <c r="BQ16" s="263">
        <f>BP16</f>
        <v>9.878509418209501E-2</v>
      </c>
      <c r="BR16" s="502"/>
      <c r="BS16" s="495" t="s">
        <v>149</v>
      </c>
      <c r="BT16" s="496"/>
      <c r="BU16" s="496">
        <f>'FS001, FS002'!I58</f>
        <v>1.4150087752401628E-2</v>
      </c>
      <c r="BV16" s="496">
        <f>'FS001, FS002'!L58</f>
        <v>6.1977384355519138E-2</v>
      </c>
      <c r="BW16" s="496">
        <f>BV16</f>
        <v>6.1977384355519138E-2</v>
      </c>
      <c r="BX16" s="496"/>
      <c r="BY16" s="499"/>
      <c r="BZ16" s="499"/>
      <c r="CA16" s="499"/>
      <c r="CB16" s="496"/>
      <c r="CC16" s="499"/>
      <c r="CD16" s="499"/>
      <c r="CE16" s="499"/>
      <c r="CF16" s="498"/>
      <c r="CG16" s="495" t="s">
        <v>149</v>
      </c>
      <c r="CH16" s="496"/>
      <c r="CI16" s="496"/>
      <c r="CJ16" s="496"/>
      <c r="CK16" s="496"/>
      <c r="CL16" s="496"/>
      <c r="CM16" s="496"/>
      <c r="CN16" s="496"/>
      <c r="CO16" s="496"/>
      <c r="CP16" s="496"/>
      <c r="CQ16" s="499"/>
      <c r="CR16" s="499"/>
      <c r="CS16" s="499"/>
      <c r="CT16" s="498"/>
      <c r="CU16" s="495" t="s">
        <v>149</v>
      </c>
      <c r="CV16" s="496"/>
      <c r="CW16" s="499"/>
      <c r="CX16" s="499"/>
      <c r="CY16" s="499"/>
      <c r="CZ16" s="496"/>
      <c r="DA16" s="496"/>
      <c r="DB16" s="496"/>
      <c r="DC16" s="496"/>
      <c r="DD16" s="496"/>
      <c r="DE16" s="499"/>
      <c r="DF16" s="499"/>
      <c r="DG16" s="499"/>
      <c r="DH16" s="498"/>
      <c r="DI16" s="495" t="s">
        <v>149</v>
      </c>
      <c r="DJ16" s="496"/>
      <c r="DK16" s="499"/>
      <c r="DL16" s="499"/>
      <c r="DM16" s="499"/>
      <c r="DN16" s="496"/>
      <c r="DO16" s="499"/>
      <c r="DP16" s="499"/>
      <c r="DQ16" s="499"/>
      <c r="DR16" s="496"/>
      <c r="DS16" s="496"/>
      <c r="DT16" s="496"/>
      <c r="DU16" s="496"/>
      <c r="DV16" s="498"/>
      <c r="DW16" s="495" t="s">
        <v>149</v>
      </c>
      <c r="DX16" s="496"/>
      <c r="DY16" s="496"/>
      <c r="DZ16" s="496"/>
      <c r="EA16" s="496"/>
      <c r="EB16" s="496"/>
      <c r="EC16" s="500">
        <f>'[1]PTE Summary'!I26</f>
        <v>6.1820283824747566E-2</v>
      </c>
      <c r="ED16" s="500">
        <f>'[1]PTE Summary'!J26</f>
        <v>0.20828680242491873</v>
      </c>
      <c r="EE16" s="500">
        <f>'[1]PTE Summary'!K26</f>
        <v>0.20828680242491873</v>
      </c>
      <c r="EF16" s="496"/>
      <c r="EG16" s="496"/>
      <c r="EH16" s="496"/>
      <c r="EI16" s="496"/>
      <c r="EJ16" s="498"/>
      <c r="EK16" s="495" t="s">
        <v>149</v>
      </c>
      <c r="EL16" s="496"/>
      <c r="EM16" s="500"/>
      <c r="EN16" s="500"/>
      <c r="EO16" s="500"/>
      <c r="EP16" s="497"/>
      <c r="EQ16" s="500"/>
      <c r="ER16" s="500"/>
      <c r="ES16" s="500"/>
      <c r="ET16" s="497"/>
      <c r="EU16" s="500"/>
      <c r="EV16" s="500"/>
      <c r="EW16" s="500"/>
      <c r="EX16" s="503"/>
      <c r="EY16" s="495" t="s">
        <v>149</v>
      </c>
      <c r="EZ16" s="496"/>
      <c r="FA16" s="496"/>
      <c r="FB16" s="496"/>
      <c r="FC16" s="496"/>
      <c r="FD16" s="497"/>
      <c r="FE16" s="500"/>
      <c r="FF16" s="500"/>
      <c r="FG16" s="500"/>
      <c r="FH16" s="497"/>
      <c r="FI16" s="500"/>
      <c r="FJ16" s="500"/>
      <c r="FK16" s="500"/>
      <c r="FL16" s="503"/>
      <c r="FM16" s="495" t="s">
        <v>149</v>
      </c>
      <c r="FN16" s="496"/>
      <c r="FO16" s="500"/>
      <c r="FP16" s="500"/>
      <c r="FQ16" s="500"/>
      <c r="FR16" s="497"/>
      <c r="FS16" s="496"/>
      <c r="FT16" s="496"/>
      <c r="FU16" s="496"/>
      <c r="FV16" s="497"/>
      <c r="FW16" s="496"/>
      <c r="FX16" s="496"/>
      <c r="FY16" s="496"/>
      <c r="FZ16" s="503"/>
    </row>
    <row r="17" spans="1:182" ht="19.350000000000001" customHeight="1" x14ac:dyDescent="0.2">
      <c r="A17" s="495" t="s">
        <v>150</v>
      </c>
      <c r="B17" s="496"/>
      <c r="C17" s="545">
        <f>'EQUI 4'!H38+'Combustion (Proposed)'!L53</f>
        <v>0.78359046000457977</v>
      </c>
      <c r="D17" s="500">
        <f>'EQUI 4'!J38+'Combustion (Proposed)'!M53</f>
        <v>32.139161508937704</v>
      </c>
      <c r="E17" s="500">
        <f>'EQUI 4'!I38+'Combustion (Proposed)'!N53</f>
        <v>3.4321262148200593</v>
      </c>
      <c r="F17" s="496"/>
      <c r="G17" s="500">
        <f>'EQUI 20'!E54</f>
        <v>0.9678500000000001</v>
      </c>
      <c r="H17" s="500">
        <f>'EQUI 20'!F54</f>
        <v>42.391829999999992</v>
      </c>
      <c r="I17" s="500">
        <f>'EQUI 20'!G54</f>
        <v>4.2391830000000006</v>
      </c>
      <c r="J17" s="496"/>
      <c r="K17" s="546">
        <f>'EQUI 21'!M11</f>
        <v>4.7000000000000037E-3</v>
      </c>
      <c r="L17" s="500">
        <f>'EQUI 21'!O11</f>
        <v>2.0585999999999998</v>
      </c>
      <c r="M17" s="500">
        <f>'EQUI 21'!N11</f>
        <v>2.0586000000000014E-2</v>
      </c>
      <c r="N17" s="498"/>
      <c r="O17" s="495" t="s">
        <v>150</v>
      </c>
      <c r="P17" s="496"/>
      <c r="Q17" s="500">
        <f>'Combustion (Proposed)'!O118</f>
        <v>0.19462876325845505</v>
      </c>
      <c r="R17" s="500">
        <f>'Combustion (Proposed)'!P118</f>
        <v>0.85247398307203315</v>
      </c>
      <c r="S17" s="500">
        <f>'Combustion (Proposed)'!Q118</f>
        <v>0.85247398307203315</v>
      </c>
      <c r="T17" s="496"/>
      <c r="U17" s="500">
        <f>'EQUI 1, EQUI 2'!M11</f>
        <v>4.7000000000000035E-2</v>
      </c>
      <c r="V17" s="500">
        <f>'EQUI 1, EQUI 2'!O11</f>
        <v>20.585999999999995</v>
      </c>
      <c r="W17" s="500">
        <f>'EQUI 1, EQUI 2'!N11</f>
        <v>0.20586000000000015</v>
      </c>
      <c r="X17" s="496"/>
      <c r="Y17" s="500">
        <f>'EQUI 1, EQUI 2'!M22</f>
        <v>4.7000000000000035E-2</v>
      </c>
      <c r="Z17" s="500">
        <f>'EQUI 1, EQUI 2'!O22</f>
        <v>20.585999999999995</v>
      </c>
      <c r="AA17" s="500">
        <f>'EQUI 1, EQUI 2'!N22</f>
        <v>0.20586000000000015</v>
      </c>
      <c r="AB17" s="498"/>
      <c r="AC17" s="495" t="s">
        <v>150</v>
      </c>
      <c r="AD17" s="496"/>
      <c r="AE17" s="501">
        <f>'EQUI 3, EQUI 16, EQUI 17'!H11</f>
        <v>0.10050000000000002</v>
      </c>
      <c r="AF17" s="501">
        <f>'EQUI 3, EQUI 16, EQUI 17'!J11</f>
        <v>4.4019000000000004</v>
      </c>
      <c r="AG17" s="501">
        <f>'EQUI 3, EQUI 16, EQUI 17'!I11</f>
        <v>0.44019000000000008</v>
      </c>
      <c r="AH17" s="496"/>
      <c r="AI17" s="500">
        <f>'EQUI 3, EQUI 16, EQUI 17'!H21</f>
        <v>0.51000000000000012</v>
      </c>
      <c r="AJ17" s="500">
        <f>'EQUI 3, EQUI 16, EQUI 17'!J21</f>
        <v>22.338000000000001</v>
      </c>
      <c r="AK17" s="500">
        <f>'EQUI 3, EQUI 16, EQUI 17'!I21</f>
        <v>2.2338000000000005</v>
      </c>
      <c r="AL17" s="496"/>
      <c r="AM17" s="500">
        <f>'EQUI 3, EQUI 16, EQUI 17'!H33</f>
        <v>0.51000000000000012</v>
      </c>
      <c r="AN17" s="500">
        <f>'EQUI 3, EQUI 16, EQUI 17'!J33</f>
        <v>22.338000000000001</v>
      </c>
      <c r="AO17" s="500">
        <f>'EQUI 3, EQUI 16, EQUI 17'!I33</f>
        <v>2.2338000000000005</v>
      </c>
      <c r="AP17" s="498"/>
      <c r="AQ17" s="495" t="s">
        <v>150</v>
      </c>
      <c r="AR17" s="496"/>
      <c r="AS17" s="500">
        <f>'EQUI 18'!M11</f>
        <v>5.8750000000000044E-3</v>
      </c>
      <c r="AT17" s="500">
        <f>'EQUI 18'!O11</f>
        <v>2.5732499999999994</v>
      </c>
      <c r="AU17" s="500">
        <f>'EQUI 18'!N11</f>
        <v>2.5732500000000019E-2</v>
      </c>
      <c r="AV17" s="496"/>
      <c r="AW17" s="500">
        <f>'EQUI 66, EQUI 8, EQUI 9'!H10</f>
        <v>0.77301720000000007</v>
      </c>
      <c r="AX17" s="500">
        <f>'EQUI 66, EQUI 8, EQUI 9'!J10</f>
        <v>33.858153360000003</v>
      </c>
      <c r="AY17" s="500">
        <f>'EQUI 66, EQUI 8, EQUI 9'!I10</f>
        <v>3.3858153360000003</v>
      </c>
      <c r="AZ17" s="496"/>
      <c r="BA17" s="500">
        <f>'EQUI 66, EQUI 8, EQUI 9'!H22</f>
        <v>0.21862680000000001</v>
      </c>
      <c r="BB17" s="500">
        <f>'EQUI 66, EQUI 8, EQUI 9'!J22</f>
        <v>9.5758538400000006</v>
      </c>
      <c r="BC17" s="500">
        <f>'EQUI 66, EQUI 8, EQUI 9'!I22</f>
        <v>0.95758538400000004</v>
      </c>
      <c r="BD17" s="498"/>
      <c r="BE17" s="495" t="s">
        <v>150</v>
      </c>
      <c r="BF17" s="496"/>
      <c r="BG17" s="500">
        <f>'EQUI 66, EQUI 8, EQUI 9'!H34</f>
        <v>4.95465E-2</v>
      </c>
      <c r="BH17" s="500">
        <f>'EQUI 66, EQUI 8, EQUI 9'!J34</f>
        <v>2.1701367</v>
      </c>
      <c r="BI17" s="500">
        <f>'EQUI 66, EQUI 8, EQUI 9'!I34</f>
        <v>0.21701366999999999</v>
      </c>
      <c r="BJ17" s="496"/>
      <c r="BK17" s="500">
        <f>'Combustion (Proposed)'!O186</f>
        <v>1.2774543766294062</v>
      </c>
      <c r="BL17" s="500">
        <f>'Combustion (Proposed)'!P186</f>
        <v>5.5952501696367989</v>
      </c>
      <c r="BM17" s="500">
        <f>'Combustion (Proposed)'!Q186</f>
        <v>5.5952501696367989</v>
      </c>
      <c r="BN17" s="496"/>
      <c r="BO17" s="263">
        <f>'FS001, FS002'!K36</f>
        <v>5.5339932145007887E-3</v>
      </c>
      <c r="BP17" s="263">
        <f>'FS001, FS002'!N36</f>
        <v>2.4238890279513453E-2</v>
      </c>
      <c r="BQ17" s="263">
        <f>BP17</f>
        <v>2.4238890279513453E-2</v>
      </c>
      <c r="BR17" s="502"/>
      <c r="BS17" s="495" t="s">
        <v>150</v>
      </c>
      <c r="BT17" s="496"/>
      <c r="BU17" s="496">
        <f>'FS001, FS002'!J58</f>
        <v>1.4150087752401628E-3</v>
      </c>
      <c r="BV17" s="496">
        <f>'FS001, FS002'!M58</f>
        <v>6.1977384355519126E-3</v>
      </c>
      <c r="BW17" s="496">
        <f>BV17</f>
        <v>6.1977384355519126E-3</v>
      </c>
      <c r="BX17" s="496"/>
      <c r="BY17" s="499"/>
      <c r="BZ17" s="499"/>
      <c r="CA17" s="499"/>
      <c r="CB17" s="496"/>
      <c r="CC17" s="499"/>
      <c r="CD17" s="499"/>
      <c r="CE17" s="499"/>
      <c r="CF17" s="498"/>
      <c r="CG17" s="495" t="s">
        <v>150</v>
      </c>
      <c r="CH17" s="496"/>
      <c r="CI17" s="496"/>
      <c r="CJ17" s="496"/>
      <c r="CK17" s="496"/>
      <c r="CL17" s="496"/>
      <c r="CM17" s="496"/>
      <c r="CN17" s="496"/>
      <c r="CO17" s="496"/>
      <c r="CP17" s="496"/>
      <c r="CQ17" s="499"/>
      <c r="CR17" s="499"/>
      <c r="CS17" s="499"/>
      <c r="CT17" s="498"/>
      <c r="CU17" s="495" t="s">
        <v>150</v>
      </c>
      <c r="CV17" s="496"/>
      <c r="CW17" s="499"/>
      <c r="CX17" s="499"/>
      <c r="CY17" s="499"/>
      <c r="CZ17" s="496"/>
      <c r="DA17" s="496"/>
      <c r="DB17" s="496"/>
      <c r="DC17" s="496"/>
      <c r="DD17" s="496"/>
      <c r="DE17" s="499"/>
      <c r="DF17" s="499"/>
      <c r="DG17" s="499"/>
      <c r="DH17" s="498"/>
      <c r="DI17" s="495" t="s">
        <v>150</v>
      </c>
      <c r="DJ17" s="496"/>
      <c r="DK17" s="499"/>
      <c r="DL17" s="499"/>
      <c r="DM17" s="499"/>
      <c r="DN17" s="496"/>
      <c r="DO17" s="499"/>
      <c r="DP17" s="499"/>
      <c r="DQ17" s="499"/>
      <c r="DR17" s="496"/>
      <c r="DS17" s="496"/>
      <c r="DT17" s="496"/>
      <c r="DU17" s="496"/>
      <c r="DV17" s="498"/>
      <c r="DW17" s="495" t="s">
        <v>150</v>
      </c>
      <c r="DX17" s="496"/>
      <c r="DY17" s="496"/>
      <c r="DZ17" s="496"/>
      <c r="EA17" s="496"/>
      <c r="EB17" s="496"/>
      <c r="EC17" s="500">
        <f>'[1]PTE Summary'!L26</f>
        <v>1.5174069666074401E-2</v>
      </c>
      <c r="ED17" s="500">
        <f>'[1]PTE Summary'!M26</f>
        <v>5.1124942413389135E-2</v>
      </c>
      <c r="EE17" s="500">
        <f>'[1]PTE Summary'!N26</f>
        <v>5.1124942413389135E-2</v>
      </c>
      <c r="EF17" s="496"/>
      <c r="EG17" s="496"/>
      <c r="EH17" s="496"/>
      <c r="EI17" s="496"/>
      <c r="EJ17" s="498"/>
      <c r="EK17" s="495" t="s">
        <v>150</v>
      </c>
      <c r="EL17" s="496"/>
      <c r="EM17" s="500"/>
      <c r="EN17" s="500"/>
      <c r="EO17" s="500"/>
      <c r="EP17" s="497"/>
      <c r="EQ17" s="500"/>
      <c r="ER17" s="500"/>
      <c r="ES17" s="500"/>
      <c r="ET17" s="497"/>
      <c r="EU17" s="500"/>
      <c r="EV17" s="500"/>
      <c r="EW17" s="500"/>
      <c r="EX17" s="503"/>
      <c r="EY17" s="495" t="s">
        <v>150</v>
      </c>
      <c r="EZ17" s="496"/>
      <c r="FA17" s="496"/>
      <c r="FB17" s="496"/>
      <c r="FC17" s="496"/>
      <c r="FD17" s="497"/>
      <c r="FE17" s="500"/>
      <c r="FF17" s="500"/>
      <c r="FG17" s="500"/>
      <c r="FH17" s="497"/>
      <c r="FI17" s="500"/>
      <c r="FJ17" s="500"/>
      <c r="FK17" s="500"/>
      <c r="FL17" s="503"/>
      <c r="FM17" s="495" t="s">
        <v>150</v>
      </c>
      <c r="FN17" s="496"/>
      <c r="FO17" s="500"/>
      <c r="FP17" s="500"/>
      <c r="FQ17" s="500"/>
      <c r="FR17" s="497"/>
      <c r="FS17" s="496"/>
      <c r="FT17" s="496"/>
      <c r="FU17" s="496"/>
      <c r="FV17" s="497"/>
      <c r="FW17" s="496"/>
      <c r="FX17" s="496"/>
      <c r="FY17" s="496"/>
      <c r="FZ17" s="503"/>
    </row>
    <row r="18" spans="1:182" ht="19.350000000000001" customHeight="1" x14ac:dyDescent="0.2">
      <c r="A18" s="495" t="s">
        <v>152</v>
      </c>
      <c r="B18" s="496"/>
      <c r="C18" s="545">
        <f>'Combustion (Proposed)'!L55</f>
        <v>0.71426020499267895</v>
      </c>
      <c r="D18" s="545">
        <f>'Combustion (Proposed)'!M55</f>
        <v>3.1284596978679335</v>
      </c>
      <c r="E18" s="545">
        <f>'Combustion (Proposed)'!N55</f>
        <v>3.1284596978679335</v>
      </c>
      <c r="F18" s="496"/>
      <c r="G18" s="496"/>
      <c r="H18" s="496"/>
      <c r="I18" s="496"/>
      <c r="J18" s="496"/>
      <c r="K18" s="496"/>
      <c r="L18" s="496"/>
      <c r="M18" s="496"/>
      <c r="N18" s="498"/>
      <c r="O18" s="495" t="s">
        <v>152</v>
      </c>
      <c r="P18" s="496"/>
      <c r="Q18" s="500">
        <f>'Combustion (Proposed)'!O120</f>
        <v>3.139309660988729</v>
      </c>
      <c r="R18" s="500">
        <f>'Combustion (Proposed)'!P120</f>
        <v>13.750176315130632</v>
      </c>
      <c r="S18" s="500">
        <f>'Combustion (Proposed)'!Q120</f>
        <v>13.750176315130632</v>
      </c>
      <c r="T18" s="496"/>
      <c r="U18" s="496"/>
      <c r="V18" s="496"/>
      <c r="W18" s="496"/>
      <c r="X18" s="496"/>
      <c r="Y18" s="500"/>
      <c r="Z18" s="500"/>
      <c r="AA18" s="500"/>
      <c r="AB18" s="498"/>
      <c r="AC18" s="495" t="s">
        <v>152</v>
      </c>
      <c r="AD18" s="496"/>
      <c r="AE18" s="501"/>
      <c r="AF18" s="501"/>
      <c r="AG18" s="501"/>
      <c r="AH18" s="496"/>
      <c r="AI18" s="500"/>
      <c r="AJ18" s="500"/>
      <c r="AK18" s="500"/>
      <c r="AL18" s="496"/>
      <c r="AM18" s="500"/>
      <c r="AN18" s="500"/>
      <c r="AO18" s="500"/>
      <c r="AP18" s="498"/>
      <c r="AQ18" s="495" t="s">
        <v>152</v>
      </c>
      <c r="AR18" s="496"/>
      <c r="AS18" s="496"/>
      <c r="AT18" s="496"/>
      <c r="AU18" s="496"/>
      <c r="AV18" s="496"/>
      <c r="AW18" s="500"/>
      <c r="AX18" s="500"/>
      <c r="AY18" s="500"/>
      <c r="AZ18" s="496"/>
      <c r="BA18" s="500"/>
      <c r="BB18" s="500"/>
      <c r="BC18" s="500"/>
      <c r="BD18" s="498"/>
      <c r="BE18" s="495" t="s">
        <v>152</v>
      </c>
      <c r="BF18" s="496"/>
      <c r="BG18" s="496"/>
      <c r="BH18" s="496"/>
      <c r="BI18" s="496"/>
      <c r="BJ18" s="496"/>
      <c r="BK18" s="500">
        <f>'Combustion (Proposed)'!O188</f>
        <v>10.044519263463686</v>
      </c>
      <c r="BL18" s="500">
        <f>'Combustion (Proposed)'!P188</f>
        <v>76.650584691854505</v>
      </c>
      <c r="BM18" s="500">
        <f>'Combustion (Proposed)'!Q188</f>
        <v>43.99499437397094</v>
      </c>
      <c r="BN18" s="496"/>
      <c r="BO18" s="499"/>
      <c r="BP18" s="499"/>
      <c r="BQ18" s="499"/>
      <c r="BR18" s="502"/>
      <c r="BS18" s="495" t="s">
        <v>152</v>
      </c>
      <c r="BT18" s="496"/>
      <c r="BU18" s="496"/>
      <c r="BV18" s="496"/>
      <c r="BW18" s="496"/>
      <c r="BX18" s="496"/>
      <c r="BY18" s="499"/>
      <c r="BZ18" s="499"/>
      <c r="CA18" s="499"/>
      <c r="CB18" s="496"/>
      <c r="CC18" s="499"/>
      <c r="CD18" s="499"/>
      <c r="CE18" s="499"/>
      <c r="CF18" s="498"/>
      <c r="CG18" s="495" t="s">
        <v>152</v>
      </c>
      <c r="CH18" s="496"/>
      <c r="CI18" s="496"/>
      <c r="CJ18" s="496"/>
      <c r="CK18" s="496"/>
      <c r="CL18" s="496"/>
      <c r="CM18" s="496"/>
      <c r="CN18" s="496"/>
      <c r="CO18" s="496"/>
      <c r="CP18" s="496"/>
      <c r="CQ18" s="499"/>
      <c r="CR18" s="499"/>
      <c r="CS18" s="499"/>
      <c r="CT18" s="498"/>
      <c r="CU18" s="495" t="s">
        <v>152</v>
      </c>
      <c r="CV18" s="496"/>
      <c r="CW18" s="499"/>
      <c r="CX18" s="499"/>
      <c r="CY18" s="499"/>
      <c r="CZ18" s="496"/>
      <c r="DA18" s="496"/>
      <c r="DB18" s="496"/>
      <c r="DC18" s="496"/>
      <c r="DD18" s="496"/>
      <c r="DE18" s="499"/>
      <c r="DF18" s="499"/>
      <c r="DG18" s="499"/>
      <c r="DH18" s="498"/>
      <c r="DI18" s="495" t="s">
        <v>152</v>
      </c>
      <c r="DJ18" s="496"/>
      <c r="DK18" s="499"/>
      <c r="DL18" s="499"/>
      <c r="DM18" s="499"/>
      <c r="DN18" s="496"/>
      <c r="DO18" s="499"/>
      <c r="DP18" s="499"/>
      <c r="DQ18" s="499"/>
      <c r="DR18" s="496"/>
      <c r="DS18" s="496"/>
      <c r="DT18" s="496"/>
      <c r="DU18" s="496"/>
      <c r="DV18" s="498"/>
      <c r="DW18" s="495" t="s">
        <v>152</v>
      </c>
      <c r="DX18" s="496"/>
      <c r="DY18" s="496"/>
      <c r="DZ18" s="496"/>
      <c r="EA18" s="496"/>
      <c r="EB18" s="496"/>
      <c r="EC18" s="496"/>
      <c r="ED18" s="496"/>
      <c r="EE18" s="496"/>
      <c r="EF18" s="496"/>
      <c r="EG18" s="496"/>
      <c r="EH18" s="496"/>
      <c r="EI18" s="496"/>
      <c r="EJ18" s="498"/>
      <c r="EK18" s="495" t="s">
        <v>152</v>
      </c>
      <c r="EL18" s="496"/>
      <c r="EM18" s="496"/>
      <c r="EN18" s="496"/>
      <c r="EO18" s="496"/>
      <c r="EP18" s="497"/>
      <c r="EQ18" s="496"/>
      <c r="ER18" s="496"/>
      <c r="ES18" s="496"/>
      <c r="ET18" s="497"/>
      <c r="EU18" s="496"/>
      <c r="EV18" s="496"/>
      <c r="EW18" s="496"/>
      <c r="EX18" s="503"/>
      <c r="EY18" s="495" t="s">
        <v>152</v>
      </c>
      <c r="EZ18" s="496"/>
      <c r="FA18" s="496"/>
      <c r="FB18" s="496"/>
      <c r="FC18" s="496"/>
      <c r="FD18" s="497"/>
      <c r="FE18" s="496"/>
      <c r="FF18" s="496"/>
      <c r="FG18" s="496"/>
      <c r="FH18" s="497"/>
      <c r="FI18" s="496"/>
      <c r="FJ18" s="496"/>
      <c r="FK18" s="496"/>
      <c r="FL18" s="503"/>
      <c r="FM18" s="495" t="s">
        <v>152</v>
      </c>
      <c r="FN18" s="496"/>
      <c r="FO18" s="496"/>
      <c r="FP18" s="496"/>
      <c r="FQ18" s="496"/>
      <c r="FR18" s="497"/>
      <c r="FS18" s="496"/>
      <c r="FT18" s="496"/>
      <c r="FU18" s="496"/>
      <c r="FV18" s="497"/>
      <c r="FW18" s="496"/>
      <c r="FX18" s="496"/>
      <c r="FY18" s="496"/>
      <c r="FZ18" s="503"/>
    </row>
    <row r="19" spans="1:182" ht="19.350000000000001" customHeight="1" x14ac:dyDescent="0.2">
      <c r="A19" s="495" t="s">
        <v>189</v>
      </c>
      <c r="B19" s="496"/>
      <c r="C19" s="545">
        <f>'Combustion (Proposed)'!L57</f>
        <v>0.41176470588235292</v>
      </c>
      <c r="D19" s="545">
        <f>'Combustion (Proposed)'!M57</f>
        <v>1.8035294117647058</v>
      </c>
      <c r="E19" s="545">
        <f>'Combustion (Proposed)'!N57</f>
        <v>1.8035294117647058</v>
      </c>
      <c r="F19" s="496"/>
      <c r="G19" s="496"/>
      <c r="H19" s="496"/>
      <c r="I19" s="496"/>
      <c r="J19" s="496"/>
      <c r="K19" s="496"/>
      <c r="L19" s="496"/>
      <c r="M19" s="496"/>
      <c r="N19" s="498"/>
      <c r="O19" s="495" t="s">
        <v>189</v>
      </c>
      <c r="P19" s="496"/>
      <c r="Q19" s="500">
        <f>'Combustion (Proposed)'!O122</f>
        <v>1.4477647058823528</v>
      </c>
      <c r="R19" s="500">
        <f>'Combustion (Proposed)'!P122</f>
        <v>6.341209411764706</v>
      </c>
      <c r="S19" s="500">
        <f>'Combustion (Proposed)'!Q122</f>
        <v>6.341209411764706</v>
      </c>
      <c r="T19" s="496"/>
      <c r="U19" s="496"/>
      <c r="V19" s="496"/>
      <c r="W19" s="496"/>
      <c r="X19" s="496"/>
      <c r="Y19" s="500"/>
      <c r="Z19" s="500"/>
      <c r="AA19" s="500"/>
      <c r="AB19" s="498"/>
      <c r="AC19" s="495" t="s">
        <v>189</v>
      </c>
      <c r="AD19" s="496"/>
      <c r="AE19" s="501"/>
      <c r="AF19" s="501"/>
      <c r="AG19" s="501"/>
      <c r="AH19" s="496"/>
      <c r="AI19" s="500"/>
      <c r="AJ19" s="500"/>
      <c r="AK19" s="500"/>
      <c r="AL19" s="496"/>
      <c r="AM19" s="500"/>
      <c r="AN19" s="500"/>
      <c r="AO19" s="500"/>
      <c r="AP19" s="498"/>
      <c r="AQ19" s="495" t="s">
        <v>189</v>
      </c>
      <c r="AR19" s="496"/>
      <c r="AS19" s="496"/>
      <c r="AT19" s="496"/>
      <c r="AU19" s="500"/>
      <c r="AV19" s="496"/>
      <c r="AW19" s="500"/>
      <c r="AX19" s="500"/>
      <c r="AY19" s="500"/>
      <c r="AZ19" s="496"/>
      <c r="BA19" s="500"/>
      <c r="BB19" s="500"/>
      <c r="BC19" s="500"/>
      <c r="BD19" s="498"/>
      <c r="BE19" s="495" t="s">
        <v>189</v>
      </c>
      <c r="BF19" s="496"/>
      <c r="BG19" s="496"/>
      <c r="BH19" s="496"/>
      <c r="BI19" s="496"/>
      <c r="BJ19" s="496"/>
      <c r="BK19" s="500">
        <f>'Combustion (Proposed)'!O190</f>
        <v>8.0705882352941174</v>
      </c>
      <c r="BL19" s="500">
        <f>'Combustion (Proposed)'!P190</f>
        <v>35.349176470588233</v>
      </c>
      <c r="BM19" s="500">
        <f>'Combustion (Proposed)'!Q190</f>
        <v>35.349176470588233</v>
      </c>
      <c r="BN19" s="496"/>
      <c r="BO19" s="499"/>
      <c r="BP19" s="499"/>
      <c r="BQ19" s="499"/>
      <c r="BR19" s="502"/>
      <c r="BS19" s="495" t="s">
        <v>189</v>
      </c>
      <c r="BT19" s="496"/>
      <c r="BU19" s="496"/>
      <c r="BV19" s="496"/>
      <c r="BW19" s="496"/>
      <c r="BX19" s="496"/>
      <c r="BY19" s="499"/>
      <c r="BZ19" s="499"/>
      <c r="CA19" s="499"/>
      <c r="CB19" s="496"/>
      <c r="CC19" s="499"/>
      <c r="CD19" s="499"/>
      <c r="CE19" s="499"/>
      <c r="CF19" s="498"/>
      <c r="CG19" s="495" t="s">
        <v>189</v>
      </c>
      <c r="CH19" s="496"/>
      <c r="CI19" s="496"/>
      <c r="CJ19" s="496"/>
      <c r="CK19" s="496"/>
      <c r="CL19" s="496"/>
      <c r="CM19" s="496"/>
      <c r="CN19" s="496"/>
      <c r="CO19" s="496"/>
      <c r="CP19" s="496"/>
      <c r="CQ19" s="499"/>
      <c r="CR19" s="499"/>
      <c r="CS19" s="499"/>
      <c r="CT19" s="498"/>
      <c r="CU19" s="495" t="s">
        <v>189</v>
      </c>
      <c r="CV19" s="496"/>
      <c r="CW19" s="499"/>
      <c r="CX19" s="499"/>
      <c r="CY19" s="499"/>
      <c r="CZ19" s="496"/>
      <c r="DA19" s="496"/>
      <c r="DB19" s="496"/>
      <c r="DC19" s="496"/>
      <c r="DD19" s="496"/>
      <c r="DE19" s="499"/>
      <c r="DF19" s="499"/>
      <c r="DG19" s="499"/>
      <c r="DH19" s="498"/>
      <c r="DI19" s="495" t="s">
        <v>189</v>
      </c>
      <c r="DJ19" s="496"/>
      <c r="DK19" s="499"/>
      <c r="DL19" s="499"/>
      <c r="DM19" s="499"/>
      <c r="DN19" s="496"/>
      <c r="DO19" s="499"/>
      <c r="DP19" s="499"/>
      <c r="DQ19" s="499"/>
      <c r="DR19" s="496"/>
      <c r="DS19" s="496"/>
      <c r="DT19" s="496"/>
      <c r="DU19" s="496"/>
      <c r="DV19" s="498"/>
      <c r="DW19" s="495" t="s">
        <v>189</v>
      </c>
      <c r="DX19" s="496"/>
      <c r="DY19" s="496"/>
      <c r="DZ19" s="496"/>
      <c r="EA19" s="496"/>
      <c r="EB19" s="496"/>
      <c r="EC19" s="496"/>
      <c r="ED19" s="496"/>
      <c r="EE19" s="496"/>
      <c r="EF19" s="496"/>
      <c r="EG19" s="496"/>
      <c r="EH19" s="496"/>
      <c r="EI19" s="496"/>
      <c r="EJ19" s="498"/>
      <c r="EK19" s="495" t="s">
        <v>189</v>
      </c>
      <c r="EL19" s="496"/>
      <c r="EM19" s="496"/>
      <c r="EN19" s="496"/>
      <c r="EO19" s="496"/>
      <c r="EP19" s="497"/>
      <c r="EQ19" s="496"/>
      <c r="ER19" s="496"/>
      <c r="ES19" s="496"/>
      <c r="ET19" s="497"/>
      <c r="EU19" s="496"/>
      <c r="EV19" s="496"/>
      <c r="EW19" s="496"/>
      <c r="EX19" s="503"/>
      <c r="EY19" s="495" t="s">
        <v>189</v>
      </c>
      <c r="EZ19" s="496"/>
      <c r="FA19" s="496"/>
      <c r="FB19" s="496"/>
      <c r="FC19" s="496"/>
      <c r="FD19" s="497"/>
      <c r="FE19" s="496"/>
      <c r="FF19" s="496"/>
      <c r="FG19" s="496"/>
      <c r="FH19" s="497"/>
      <c r="FI19" s="496"/>
      <c r="FJ19" s="496"/>
      <c r="FK19" s="496"/>
      <c r="FL19" s="503"/>
      <c r="FM19" s="495" t="s">
        <v>189</v>
      </c>
      <c r="FN19" s="496"/>
      <c r="FO19" s="496"/>
      <c r="FP19" s="496"/>
      <c r="FQ19" s="496"/>
      <c r="FR19" s="497"/>
      <c r="FS19" s="496"/>
      <c r="FT19" s="496"/>
      <c r="FU19" s="496"/>
      <c r="FV19" s="497"/>
      <c r="FW19" s="496"/>
      <c r="FX19" s="496"/>
      <c r="FY19" s="496"/>
      <c r="FZ19" s="503"/>
    </row>
    <row r="20" spans="1:182" ht="19.350000000000001" customHeight="1" x14ac:dyDescent="0.2">
      <c r="A20" s="495" t="s">
        <v>151</v>
      </c>
      <c r="B20" s="496"/>
      <c r="C20" s="545">
        <f>'Combustion (Proposed)'!L54</f>
        <v>0.25356237277240107</v>
      </c>
      <c r="D20" s="545">
        <f>'Combustion (Proposed)'!M54</f>
        <v>1.1106031927431168</v>
      </c>
      <c r="E20" s="545">
        <f>'Combustion (Proposed)'!N54</f>
        <v>1.1106031927431168</v>
      </c>
      <c r="F20" s="496"/>
      <c r="G20" s="496"/>
      <c r="H20" s="496"/>
      <c r="I20" s="496"/>
      <c r="J20" s="496"/>
      <c r="K20" s="496"/>
      <c r="L20" s="496"/>
      <c r="M20" s="496"/>
      <c r="N20" s="498"/>
      <c r="O20" s="495" t="s">
        <v>151</v>
      </c>
      <c r="P20" s="496"/>
      <c r="Q20" s="500">
        <f>'Combustion (Proposed)'!O119</f>
        <v>2.1974999999999998</v>
      </c>
      <c r="R20" s="500">
        <f>'Combustion (Proposed)'!P119</f>
        <v>9.6250499999999999</v>
      </c>
      <c r="S20" s="500">
        <f>'Combustion (Proposed)'!Q119</f>
        <v>9.6250499999999999</v>
      </c>
      <c r="T20" s="496"/>
      <c r="U20" s="496"/>
      <c r="V20" s="496"/>
      <c r="W20" s="496"/>
      <c r="X20" s="496"/>
      <c r="Y20" s="500"/>
      <c r="Z20" s="500"/>
      <c r="AA20" s="500"/>
      <c r="AB20" s="498"/>
      <c r="AC20" s="495" t="s">
        <v>151</v>
      </c>
      <c r="AD20" s="496"/>
      <c r="AE20" s="501"/>
      <c r="AF20" s="501"/>
      <c r="AG20" s="501"/>
      <c r="AH20" s="496"/>
      <c r="AI20" s="500"/>
      <c r="AJ20" s="500"/>
      <c r="AK20" s="500"/>
      <c r="AL20" s="496"/>
      <c r="AM20" s="500"/>
      <c r="AN20" s="500"/>
      <c r="AO20" s="500"/>
      <c r="AP20" s="498"/>
      <c r="AQ20" s="495" t="s">
        <v>151</v>
      </c>
      <c r="AR20" s="496"/>
      <c r="AS20" s="496"/>
      <c r="AT20" s="496"/>
      <c r="AU20" s="496"/>
      <c r="AV20" s="496"/>
      <c r="AW20" s="500"/>
      <c r="AX20" s="500"/>
      <c r="AY20" s="500"/>
      <c r="AZ20" s="496"/>
      <c r="BA20" s="500"/>
      <c r="BB20" s="500"/>
      <c r="BC20" s="500"/>
      <c r="BD20" s="498"/>
      <c r="BE20" s="495" t="s">
        <v>151</v>
      </c>
      <c r="BF20" s="496"/>
      <c r="BG20" s="496"/>
      <c r="BH20" s="496"/>
      <c r="BI20" s="496"/>
      <c r="BJ20" s="496"/>
      <c r="BK20" s="500">
        <f>'Combustion (Proposed)'!O187</f>
        <v>12.250000000000002</v>
      </c>
      <c r="BL20" s="500">
        <f>'Combustion (Proposed)'!P187</f>
        <v>53.655000000000008</v>
      </c>
      <c r="BM20" s="500">
        <f>'Combustion (Proposed)'!Q187</f>
        <v>53.655000000000008</v>
      </c>
      <c r="BN20" s="496"/>
      <c r="BO20" s="499"/>
      <c r="BP20" s="499"/>
      <c r="BQ20" s="499"/>
      <c r="BR20" s="502"/>
      <c r="BS20" s="495" t="s">
        <v>151</v>
      </c>
      <c r="BT20" s="496"/>
      <c r="BU20" s="496"/>
      <c r="BV20" s="496"/>
      <c r="BW20" s="496"/>
      <c r="BX20" s="496"/>
      <c r="BY20" s="499"/>
      <c r="BZ20" s="499"/>
      <c r="CA20" s="499"/>
      <c r="CB20" s="496"/>
      <c r="CC20" s="499"/>
      <c r="CD20" s="499"/>
      <c r="CE20" s="499"/>
      <c r="CF20" s="498"/>
      <c r="CG20" s="495" t="s">
        <v>151</v>
      </c>
      <c r="CH20" s="496"/>
      <c r="CI20" s="496"/>
      <c r="CJ20" s="496"/>
      <c r="CK20" s="496"/>
      <c r="CL20" s="496"/>
      <c r="CM20" s="496"/>
      <c r="CN20" s="496"/>
      <c r="CO20" s="496"/>
      <c r="CP20" s="496"/>
      <c r="CQ20" s="499"/>
      <c r="CR20" s="499"/>
      <c r="CS20" s="499"/>
      <c r="CT20" s="498"/>
      <c r="CU20" s="495" t="s">
        <v>151</v>
      </c>
      <c r="CV20" s="496"/>
      <c r="CW20" s="499"/>
      <c r="CX20" s="499"/>
      <c r="CY20" s="499"/>
      <c r="CZ20" s="496"/>
      <c r="DA20" s="496"/>
      <c r="DB20" s="496"/>
      <c r="DC20" s="496"/>
      <c r="DD20" s="496"/>
      <c r="DE20" s="499"/>
      <c r="DF20" s="499"/>
      <c r="DG20" s="499"/>
      <c r="DH20" s="498"/>
      <c r="DI20" s="495" t="s">
        <v>151</v>
      </c>
      <c r="DJ20" s="496"/>
      <c r="DK20" s="499"/>
      <c r="DL20" s="499"/>
      <c r="DM20" s="499"/>
      <c r="DN20" s="496"/>
      <c r="DO20" s="499"/>
      <c r="DP20" s="499"/>
      <c r="DQ20" s="499"/>
      <c r="DR20" s="496"/>
      <c r="DS20" s="496"/>
      <c r="DT20" s="496"/>
      <c r="DU20" s="496"/>
      <c r="DV20" s="498"/>
      <c r="DW20" s="495" t="s">
        <v>151</v>
      </c>
      <c r="DX20" s="496"/>
      <c r="DY20" s="496"/>
      <c r="DZ20" s="496"/>
      <c r="EA20" s="496"/>
      <c r="EB20" s="496"/>
      <c r="EC20" s="496"/>
      <c r="ED20" s="496"/>
      <c r="EE20" s="496"/>
      <c r="EF20" s="496"/>
      <c r="EG20" s="496"/>
      <c r="EH20" s="496"/>
      <c r="EI20" s="496"/>
      <c r="EJ20" s="498"/>
      <c r="EK20" s="495" t="s">
        <v>151</v>
      </c>
      <c r="EL20" s="496"/>
      <c r="EM20" s="496"/>
      <c r="EN20" s="496"/>
      <c r="EO20" s="496"/>
      <c r="EP20" s="497"/>
      <c r="EQ20" s="496"/>
      <c r="ER20" s="496"/>
      <c r="ES20" s="496"/>
      <c r="ET20" s="497"/>
      <c r="EU20" s="496"/>
      <c r="EV20" s="496"/>
      <c r="EW20" s="496"/>
      <c r="EX20" s="503"/>
      <c r="EY20" s="495" t="s">
        <v>151</v>
      </c>
      <c r="EZ20" s="496"/>
      <c r="FA20" s="496"/>
      <c r="FB20" s="496"/>
      <c r="FC20" s="496"/>
      <c r="FD20" s="497"/>
      <c r="FE20" s="496"/>
      <c r="FF20" s="496"/>
      <c r="FG20" s="496"/>
      <c r="FH20" s="497"/>
      <c r="FI20" s="496"/>
      <c r="FJ20" s="496"/>
      <c r="FK20" s="496"/>
      <c r="FL20" s="503"/>
      <c r="FM20" s="495" t="s">
        <v>151</v>
      </c>
      <c r="FN20" s="496"/>
      <c r="FO20" s="496"/>
      <c r="FP20" s="496"/>
      <c r="FQ20" s="496"/>
      <c r="FR20" s="497"/>
      <c r="FS20" s="496"/>
      <c r="FT20" s="496"/>
      <c r="FU20" s="496"/>
      <c r="FV20" s="497"/>
      <c r="FW20" s="496"/>
      <c r="FX20" s="496"/>
      <c r="FY20" s="496"/>
      <c r="FZ20" s="503"/>
    </row>
    <row r="21" spans="1:182" ht="19.350000000000001" customHeight="1" x14ac:dyDescent="0.2">
      <c r="A21" s="495" t="s">
        <v>6</v>
      </c>
      <c r="B21" s="496"/>
      <c r="C21" s="545">
        <f>'EQUI 4'!H39+'Combustion (Proposed)'!L56</f>
        <v>0.13371584699453551</v>
      </c>
      <c r="D21" s="500">
        <f>'EQUI 4'!J39+'Combustion (Proposed)'!M56</f>
        <v>0.58567540983606559</v>
      </c>
      <c r="E21" s="500">
        <f>'EQUI 4'!I39+'Combustion (Proposed)'!N56</f>
        <v>0.58567540983606559</v>
      </c>
      <c r="F21" s="496"/>
      <c r="G21" s="500">
        <f>'EQUI 20'!E55</f>
        <v>0.17</v>
      </c>
      <c r="H21" s="500">
        <f>'EQUI 20'!F55</f>
        <v>0.74460000000000004</v>
      </c>
      <c r="I21" s="500">
        <f>'EQUI 20'!G55</f>
        <v>0.74460000000000004</v>
      </c>
      <c r="J21" s="496"/>
      <c r="K21" s="496"/>
      <c r="L21" s="496"/>
      <c r="M21" s="496"/>
      <c r="N21" s="498"/>
      <c r="O21" s="495" t="s">
        <v>6</v>
      </c>
      <c r="P21" s="496"/>
      <c r="Q21" s="500">
        <f>'Combustion (Proposed)'!O121</f>
        <v>0.15370491803278688</v>
      </c>
      <c r="R21" s="500">
        <f>'Combustion (Proposed)'!P121</f>
        <v>0.6732275409836066</v>
      </c>
      <c r="S21" s="500">
        <f>'Combustion (Proposed)'!Q121</f>
        <v>0.6732275409836066</v>
      </c>
      <c r="T21" s="496"/>
      <c r="U21" s="496"/>
      <c r="V21" s="496"/>
      <c r="W21" s="496"/>
      <c r="X21" s="496"/>
      <c r="Y21" s="500"/>
      <c r="Z21" s="500"/>
      <c r="AA21" s="500"/>
      <c r="AB21" s="498"/>
      <c r="AC21" s="495" t="s">
        <v>6</v>
      </c>
      <c r="AD21" s="496"/>
      <c r="AE21" s="501"/>
      <c r="AF21" s="501"/>
      <c r="AG21" s="501"/>
      <c r="AH21" s="496"/>
      <c r="AI21" s="500">
        <f>'EQUI 3, EQUI 16, EQUI 17'!H22</f>
        <v>1.0643750000000001</v>
      </c>
      <c r="AJ21" s="500">
        <f>'EQUI 3, EQUI 16, EQUI 17'!J22</f>
        <v>4.6619625000000005</v>
      </c>
      <c r="AK21" s="500">
        <f>'EQUI 3, EQUI 16, EQUI 17'!I22</f>
        <v>4.6619625000000005</v>
      </c>
      <c r="AL21" s="496"/>
      <c r="AM21" s="500">
        <f>'EQUI 3, EQUI 16, EQUI 17'!H34</f>
        <v>1.0643750000000001</v>
      </c>
      <c r="AN21" s="500">
        <f>'EQUI 3, EQUI 16, EQUI 17'!J34</f>
        <v>4.6619625000000005</v>
      </c>
      <c r="AO21" s="500">
        <f>'EQUI 3, EQUI 16, EQUI 17'!I34</f>
        <v>4.6619625000000005</v>
      </c>
      <c r="AP21" s="498"/>
      <c r="AQ21" s="495" t="s">
        <v>6</v>
      </c>
      <c r="AR21" s="496"/>
      <c r="AS21" s="496"/>
      <c r="AT21" s="496"/>
      <c r="AU21" s="500"/>
      <c r="AV21" s="496"/>
      <c r="AW21" s="500">
        <f>'EQUI 66, EQUI 8, EQUI 9'!H11</f>
        <v>1.6104525000000001</v>
      </c>
      <c r="AX21" s="500">
        <f>'EQUI 66, EQUI 8, EQUI 9'!J11</f>
        <v>7.0537819500000003</v>
      </c>
      <c r="AY21" s="500">
        <f>'EQUI 66, EQUI 8, EQUI 9'!I11</f>
        <v>7.0537819500000003</v>
      </c>
      <c r="AZ21" s="496"/>
      <c r="BA21" s="500">
        <f>'EQUI 66, EQUI 8, EQUI 9'!H23</f>
        <v>0.45547250000000006</v>
      </c>
      <c r="BB21" s="500">
        <f>'EQUI 66, EQUI 8, EQUI 9'!J23</f>
        <v>1.9949695500000002</v>
      </c>
      <c r="BC21" s="500">
        <f>'EQUI 66, EQUI 8, EQUI 9'!I23</f>
        <v>1.9949695500000002</v>
      </c>
      <c r="BD21" s="498"/>
      <c r="BE21" s="495" t="s">
        <v>6</v>
      </c>
      <c r="BF21" s="496"/>
      <c r="BG21" s="496"/>
      <c r="BH21" s="496"/>
      <c r="BI21" s="496"/>
      <c r="BJ21" s="496"/>
      <c r="BK21" s="500">
        <f>'Combustion (Proposed)'!O189</f>
        <v>0.85683060109289633</v>
      </c>
      <c r="BL21" s="500">
        <f>'Combustion (Proposed)'!P189</f>
        <v>3.7529180327868858</v>
      </c>
      <c r="BM21" s="500">
        <f>'Combustion (Proposed)'!Q189</f>
        <v>3.7529180327868858</v>
      </c>
      <c r="BN21" s="496"/>
      <c r="BO21" s="496"/>
      <c r="BP21" s="496"/>
      <c r="BQ21" s="496"/>
      <c r="BR21" s="498"/>
      <c r="BS21" s="495" t="s">
        <v>6</v>
      </c>
      <c r="BT21" s="496"/>
      <c r="BU21" s="496"/>
      <c r="BV21" s="496"/>
      <c r="BW21" s="496"/>
      <c r="BX21" s="496"/>
      <c r="BY21" s="499"/>
      <c r="BZ21" s="499"/>
      <c r="CA21" s="499"/>
      <c r="CB21" s="496"/>
      <c r="CC21" s="499"/>
      <c r="CD21" s="499"/>
      <c r="CE21" s="499"/>
      <c r="CF21" s="498"/>
      <c r="CG21" s="495" t="s">
        <v>6</v>
      </c>
      <c r="CH21" s="496"/>
      <c r="CI21" s="496"/>
      <c r="CJ21" s="496"/>
      <c r="CK21" s="496"/>
      <c r="CL21" s="496"/>
      <c r="CM21" s="496"/>
      <c r="CN21" s="496"/>
      <c r="CO21" s="496"/>
      <c r="CP21" s="496"/>
      <c r="CQ21" s="499"/>
      <c r="CR21" s="499"/>
      <c r="CS21" s="499"/>
      <c r="CT21" s="498"/>
      <c r="CU21" s="495" t="s">
        <v>6</v>
      </c>
      <c r="CV21" s="496"/>
      <c r="CW21" s="499"/>
      <c r="CX21" s="499"/>
      <c r="CY21" s="499"/>
      <c r="CZ21" s="496"/>
      <c r="DA21" s="496"/>
      <c r="DB21" s="496"/>
      <c r="DC21" s="496"/>
      <c r="DD21" s="496"/>
      <c r="DE21" s="499"/>
      <c r="DF21" s="499"/>
      <c r="DG21" s="499"/>
      <c r="DH21" s="498"/>
      <c r="DI21" s="495" t="s">
        <v>6</v>
      </c>
      <c r="DJ21" s="496"/>
      <c r="DK21" s="499"/>
      <c r="DL21" s="499"/>
      <c r="DM21" s="499"/>
      <c r="DN21" s="496"/>
      <c r="DO21" s="499"/>
      <c r="DP21" s="499"/>
      <c r="DQ21" s="499"/>
      <c r="DR21" s="496"/>
      <c r="DS21" s="496"/>
      <c r="DT21" s="496"/>
      <c r="DU21" s="496"/>
      <c r="DV21" s="498"/>
      <c r="DW21" s="495" t="s">
        <v>6</v>
      </c>
      <c r="DX21" s="496"/>
      <c r="DY21" s="496"/>
      <c r="DZ21" s="496"/>
      <c r="EA21" s="496"/>
      <c r="EB21" s="496"/>
      <c r="EC21" s="496"/>
      <c r="ED21" s="496"/>
      <c r="EE21" s="496"/>
      <c r="EF21" s="496"/>
      <c r="EG21" s="500"/>
      <c r="EH21" s="500"/>
      <c r="EI21" s="500"/>
      <c r="EJ21" s="498"/>
      <c r="EK21" s="495" t="s">
        <v>6</v>
      </c>
      <c r="EL21" s="496"/>
      <c r="EM21" s="496"/>
      <c r="EN21" s="496"/>
      <c r="EO21" s="496"/>
      <c r="EP21" s="497"/>
      <c r="EQ21" s="496"/>
      <c r="ER21" s="496"/>
      <c r="ES21" s="496"/>
      <c r="ET21" s="497"/>
      <c r="EU21" s="496"/>
      <c r="EV21" s="496"/>
      <c r="EW21" s="496"/>
      <c r="EX21" s="503"/>
      <c r="EY21" s="495" t="s">
        <v>6</v>
      </c>
      <c r="EZ21" s="496"/>
      <c r="FA21" s="500"/>
      <c r="FB21" s="500"/>
      <c r="FC21" s="500"/>
      <c r="FD21" s="497"/>
      <c r="FE21" s="496"/>
      <c r="FF21" s="496"/>
      <c r="FG21" s="496"/>
      <c r="FH21" s="497"/>
      <c r="FI21" s="496"/>
      <c r="FJ21" s="496"/>
      <c r="FK21" s="496"/>
      <c r="FL21" s="503"/>
      <c r="FM21" s="495" t="s">
        <v>6</v>
      </c>
      <c r="FN21" s="496"/>
      <c r="FO21" s="496"/>
      <c r="FP21" s="496"/>
      <c r="FQ21" s="496"/>
      <c r="FR21" s="497"/>
      <c r="FS21" s="496"/>
      <c r="FT21" s="496"/>
      <c r="FU21" s="496"/>
      <c r="FV21" s="497"/>
      <c r="FW21" s="496"/>
      <c r="FX21" s="496"/>
      <c r="FY21" s="496"/>
      <c r="FZ21" s="503"/>
    </row>
    <row r="22" spans="1:182" ht="19.350000000000001" customHeight="1" x14ac:dyDescent="0.2">
      <c r="A22" s="495" t="s">
        <v>159</v>
      </c>
      <c r="B22" s="496"/>
      <c r="C22" s="504">
        <f>'Combustion (Proposed)'!L62</f>
        <v>799.21359951430338</v>
      </c>
      <c r="D22" s="504">
        <f>'Combustion (Proposed)'!M62</f>
        <v>3500.5555658726489</v>
      </c>
      <c r="E22" s="504">
        <f>'Combustion (Proposed)'!N62</f>
        <v>3500.5555658726489</v>
      </c>
      <c r="F22" s="496"/>
      <c r="G22" s="496"/>
      <c r="H22" s="496"/>
      <c r="I22" s="496"/>
      <c r="J22" s="496"/>
      <c r="K22" s="505"/>
      <c r="L22" s="505"/>
      <c r="M22" s="505"/>
      <c r="N22" s="498"/>
      <c r="O22" s="495" t="s">
        <v>159</v>
      </c>
      <c r="P22" s="496"/>
      <c r="Q22" s="505">
        <f>'Combustion (Proposed)'!O129</f>
        <v>3178.6310099999992</v>
      </c>
      <c r="R22" s="505">
        <f>'Combustion (Proposed)'!P129</f>
        <v>13922.403823799996</v>
      </c>
      <c r="S22" s="505">
        <f>'Combustion (Proposed)'!Q129</f>
        <v>13922.403823799996</v>
      </c>
      <c r="T22" s="496"/>
      <c r="U22" s="505"/>
      <c r="V22" s="505"/>
      <c r="W22" s="505"/>
      <c r="X22" s="496"/>
      <c r="Y22" s="505"/>
      <c r="Z22" s="505"/>
      <c r="AA22" s="505"/>
      <c r="AB22" s="498"/>
      <c r="AC22" s="495" t="s">
        <v>159</v>
      </c>
      <c r="AD22" s="496"/>
      <c r="AE22" s="506"/>
      <c r="AF22" s="506"/>
      <c r="AG22" s="506"/>
      <c r="AH22" s="496"/>
      <c r="AI22" s="505"/>
      <c r="AJ22" s="505"/>
      <c r="AK22" s="505"/>
      <c r="AL22" s="496"/>
      <c r="AM22" s="505"/>
      <c r="AN22" s="505"/>
      <c r="AO22" s="505"/>
      <c r="AP22" s="498"/>
      <c r="AQ22" s="495" t="s">
        <v>159</v>
      </c>
      <c r="AR22" s="496"/>
      <c r="AS22" s="505"/>
      <c r="AT22" s="505"/>
      <c r="AU22" s="505"/>
      <c r="AV22" s="496"/>
      <c r="AW22" s="505"/>
      <c r="AX22" s="505"/>
      <c r="AY22" s="505"/>
      <c r="AZ22" s="496"/>
      <c r="BA22" s="505"/>
      <c r="BB22" s="505"/>
      <c r="BC22" s="505"/>
      <c r="BD22" s="498"/>
      <c r="BE22" s="495" t="s">
        <v>159</v>
      </c>
      <c r="BF22" s="496"/>
      <c r="BG22" s="496"/>
      <c r="BH22" s="496"/>
      <c r="BI22" s="496"/>
      <c r="BJ22" s="496"/>
      <c r="BK22" s="505">
        <f>'Combustion (Proposed)'!O197</f>
        <v>17719.331000000002</v>
      </c>
      <c r="BL22" s="505">
        <f>'Combustion (Proposed)'!P197</f>
        <v>77610.669779999997</v>
      </c>
      <c r="BM22" s="505">
        <f>'Combustion (Proposed)'!Q197</f>
        <v>77610.669779999997</v>
      </c>
      <c r="BN22" s="496"/>
      <c r="BO22" s="496"/>
      <c r="BP22" s="496"/>
      <c r="BQ22" s="496"/>
      <c r="BR22" s="498"/>
      <c r="BS22" s="495" t="s">
        <v>159</v>
      </c>
      <c r="BT22" s="496"/>
      <c r="BU22" s="496"/>
      <c r="BV22" s="496"/>
      <c r="BW22" s="496"/>
      <c r="BX22" s="496"/>
      <c r="BY22" s="499"/>
      <c r="BZ22" s="499"/>
      <c r="CA22" s="499"/>
      <c r="CB22" s="496"/>
      <c r="CC22" s="499"/>
      <c r="CD22" s="499"/>
      <c r="CE22" s="499"/>
      <c r="CF22" s="498"/>
      <c r="CG22" s="495" t="s">
        <v>159</v>
      </c>
      <c r="CH22" s="496"/>
      <c r="CI22" s="496"/>
      <c r="CJ22" s="496"/>
      <c r="CK22" s="496"/>
      <c r="CL22" s="496"/>
      <c r="CM22" s="496"/>
      <c r="CN22" s="496"/>
      <c r="CO22" s="496"/>
      <c r="CP22" s="496"/>
      <c r="CQ22" s="499"/>
      <c r="CR22" s="499"/>
      <c r="CS22" s="499"/>
      <c r="CT22" s="498"/>
      <c r="CU22" s="495" t="s">
        <v>159</v>
      </c>
      <c r="CV22" s="496"/>
      <c r="CW22" s="499"/>
      <c r="CX22" s="499"/>
      <c r="CY22" s="499"/>
      <c r="CZ22" s="496"/>
      <c r="DA22" s="496"/>
      <c r="DB22" s="496"/>
      <c r="DC22" s="496"/>
      <c r="DD22" s="496"/>
      <c r="DE22" s="499"/>
      <c r="DF22" s="499"/>
      <c r="DG22" s="499"/>
      <c r="DH22" s="498"/>
      <c r="DI22" s="495" t="s">
        <v>159</v>
      </c>
      <c r="DJ22" s="496"/>
      <c r="DK22" s="499"/>
      <c r="DL22" s="499"/>
      <c r="DM22" s="499"/>
      <c r="DN22" s="496"/>
      <c r="DO22" s="499"/>
      <c r="DP22" s="499"/>
      <c r="DQ22" s="499"/>
      <c r="DR22" s="496"/>
      <c r="DS22" s="496"/>
      <c r="DT22" s="496"/>
      <c r="DU22" s="496"/>
      <c r="DV22" s="498"/>
      <c r="DW22" s="495" t="s">
        <v>159</v>
      </c>
      <c r="DX22" s="496"/>
      <c r="DY22" s="496"/>
      <c r="DZ22" s="496"/>
      <c r="EA22" s="496"/>
      <c r="EB22" s="496"/>
      <c r="EC22" s="496"/>
      <c r="ED22" s="496"/>
      <c r="EE22" s="496"/>
      <c r="EF22" s="496"/>
      <c r="EG22" s="496"/>
      <c r="EH22" s="496"/>
      <c r="EI22" s="496"/>
      <c r="EJ22" s="498"/>
      <c r="EK22" s="495" t="s">
        <v>159</v>
      </c>
      <c r="EL22" s="496"/>
      <c r="EM22" s="496"/>
      <c r="EN22" s="496"/>
      <c r="EO22" s="496"/>
      <c r="EP22" s="497"/>
      <c r="EQ22" s="496"/>
      <c r="ER22" s="496"/>
      <c r="ES22" s="496"/>
      <c r="ET22" s="497"/>
      <c r="EU22" s="496"/>
      <c r="EV22" s="496"/>
      <c r="EW22" s="496"/>
      <c r="EX22" s="503"/>
      <c r="EY22" s="495" t="s">
        <v>159</v>
      </c>
      <c r="EZ22" s="496"/>
      <c r="FA22" s="496"/>
      <c r="FB22" s="496"/>
      <c r="FC22" s="496"/>
      <c r="FD22" s="497"/>
      <c r="FE22" s="496"/>
      <c r="FF22" s="496"/>
      <c r="FG22" s="496"/>
      <c r="FH22" s="497"/>
      <c r="FI22" s="496"/>
      <c r="FJ22" s="496"/>
      <c r="FK22" s="496"/>
      <c r="FL22" s="503"/>
      <c r="FM22" s="495" t="s">
        <v>159</v>
      </c>
      <c r="FN22" s="496"/>
      <c r="FO22" s="496"/>
      <c r="FP22" s="496"/>
      <c r="FQ22" s="496"/>
      <c r="FR22" s="497"/>
      <c r="FS22" s="496"/>
      <c r="FT22" s="496"/>
      <c r="FU22" s="496"/>
      <c r="FV22" s="497"/>
      <c r="FW22" s="496"/>
      <c r="FX22" s="496"/>
      <c r="FY22" s="496"/>
      <c r="FZ22" s="503"/>
    </row>
    <row r="23" spans="1:182" ht="19.350000000000001" customHeight="1" x14ac:dyDescent="0.2">
      <c r="A23" s="303" t="s">
        <v>113</v>
      </c>
      <c r="B23" s="507" t="s">
        <v>264</v>
      </c>
      <c r="C23" s="510">
        <f>'Combustion (Proposed)'!L12</f>
        <v>7.5354451626727636E-7</v>
      </c>
      <c r="D23" s="510">
        <f>'Combustion (Proposed)'!M12</f>
        <v>3.3005249812506704E-6</v>
      </c>
      <c r="E23" s="510">
        <f>'Combustion (Proposed)'!N12</f>
        <v>3.3005249812506704E-6</v>
      </c>
      <c r="F23" s="263"/>
      <c r="G23" s="263"/>
      <c r="H23" s="263"/>
      <c r="I23" s="263"/>
      <c r="J23" s="263"/>
      <c r="K23" s="263"/>
      <c r="L23" s="263"/>
      <c r="M23" s="263"/>
      <c r="N23" s="508"/>
      <c r="O23" s="303" t="s">
        <v>113</v>
      </c>
      <c r="P23" s="507" t="s">
        <v>264</v>
      </c>
      <c r="Q23" s="179">
        <f>'Combustion (Proposed)'!O77</f>
        <v>3.09115E-6</v>
      </c>
      <c r="R23" s="179">
        <f>'Combustion (Proposed)'!P77</f>
        <v>1.3539237E-5</v>
      </c>
      <c r="S23" s="179">
        <f>'Combustion (Proposed)'!Q77</f>
        <v>1.3539237E-5</v>
      </c>
      <c r="T23" s="263"/>
      <c r="U23" s="263"/>
      <c r="V23" s="263"/>
      <c r="W23" s="263"/>
      <c r="X23" s="263"/>
      <c r="Y23" s="179"/>
      <c r="Z23" s="179"/>
      <c r="AA23" s="179"/>
      <c r="AB23" s="509"/>
      <c r="AC23" s="303" t="s">
        <v>113</v>
      </c>
      <c r="AD23" s="507" t="s">
        <v>264</v>
      </c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509"/>
      <c r="AQ23" s="303" t="s">
        <v>113</v>
      </c>
      <c r="AR23" s="507" t="s">
        <v>264</v>
      </c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509"/>
      <c r="BE23" s="303" t="s">
        <v>113</v>
      </c>
      <c r="BF23" s="507" t="s">
        <v>264</v>
      </c>
      <c r="BG23" s="179"/>
      <c r="BH23" s="179"/>
      <c r="BI23" s="179"/>
      <c r="BJ23" s="179"/>
      <c r="BK23" s="179">
        <f>'Combustion (Proposed)'!O145</f>
        <v>1.723166666666667E-5</v>
      </c>
      <c r="BL23" s="179">
        <f>'Combustion (Proposed)'!P145</f>
        <v>7.5474700000000025E-5</v>
      </c>
      <c r="BM23" s="179">
        <f>'Combustion (Proposed)'!Q145</f>
        <v>7.5474700000000025E-5</v>
      </c>
      <c r="BN23" s="179"/>
      <c r="BO23" s="179"/>
      <c r="BP23" s="179"/>
      <c r="BQ23" s="179"/>
      <c r="BR23" s="509"/>
      <c r="BS23" s="303" t="s">
        <v>113</v>
      </c>
      <c r="BT23" s="507" t="s">
        <v>264</v>
      </c>
      <c r="BU23" s="179"/>
      <c r="BV23" s="179"/>
      <c r="BW23" s="179"/>
      <c r="BX23" s="179"/>
      <c r="BY23" s="179"/>
      <c r="BZ23" s="179"/>
      <c r="CA23" s="179"/>
      <c r="CB23" s="179"/>
      <c r="CC23" s="179"/>
      <c r="CD23" s="179"/>
      <c r="CE23" s="179"/>
      <c r="CF23" s="509"/>
      <c r="CG23" s="303" t="s">
        <v>113</v>
      </c>
      <c r="CH23" s="507" t="s">
        <v>264</v>
      </c>
      <c r="CI23" s="179"/>
      <c r="CJ23" s="179"/>
      <c r="CK23" s="179"/>
      <c r="CL23" s="179"/>
      <c r="CM23" s="179"/>
      <c r="CN23" s="179"/>
      <c r="CO23" s="179"/>
      <c r="CP23" s="179"/>
      <c r="CQ23" s="179"/>
      <c r="CR23" s="179"/>
      <c r="CS23" s="179"/>
      <c r="CT23" s="509"/>
      <c r="CU23" s="303" t="s">
        <v>113</v>
      </c>
      <c r="CV23" s="507" t="s">
        <v>264</v>
      </c>
      <c r="CW23" s="179"/>
      <c r="CX23" s="179"/>
      <c r="CY23" s="179"/>
      <c r="CZ23" s="179"/>
      <c r="DA23" s="179"/>
      <c r="DB23" s="179"/>
      <c r="DC23" s="179"/>
      <c r="DD23" s="179"/>
      <c r="DE23" s="179"/>
      <c r="DF23" s="179"/>
      <c r="DG23" s="179"/>
      <c r="DH23" s="509"/>
      <c r="DI23" s="303" t="s">
        <v>113</v>
      </c>
      <c r="DJ23" s="507" t="s">
        <v>264</v>
      </c>
      <c r="DK23" s="179"/>
      <c r="DL23" s="179"/>
      <c r="DM23" s="179"/>
      <c r="DN23" s="179"/>
      <c r="DO23" s="179"/>
      <c r="DP23" s="179"/>
      <c r="DQ23" s="179"/>
      <c r="DR23" s="179"/>
      <c r="DS23" s="179"/>
      <c r="DT23" s="179"/>
      <c r="DU23" s="179"/>
      <c r="DV23" s="509"/>
      <c r="DW23" s="303" t="s">
        <v>113</v>
      </c>
      <c r="DX23" s="507" t="s">
        <v>264</v>
      </c>
      <c r="DY23" s="179"/>
      <c r="DZ23" s="179"/>
      <c r="EA23" s="179"/>
      <c r="EB23" s="179"/>
      <c r="EC23" s="179"/>
      <c r="ED23" s="179"/>
      <c r="EE23" s="179"/>
      <c r="EF23" s="179"/>
      <c r="EG23" s="179"/>
      <c r="EH23" s="179"/>
      <c r="EI23" s="179"/>
      <c r="EJ23" s="509"/>
      <c r="EK23" s="303" t="s">
        <v>113</v>
      </c>
      <c r="EL23" s="507" t="s">
        <v>264</v>
      </c>
      <c r="EM23" s="179"/>
      <c r="EN23" s="179"/>
      <c r="EO23" s="179"/>
      <c r="EP23" s="510"/>
      <c r="EQ23" s="179"/>
      <c r="ER23" s="179"/>
      <c r="ES23" s="179"/>
      <c r="ET23" s="510"/>
      <c r="EU23" s="179"/>
      <c r="EV23" s="179"/>
      <c r="EW23" s="179"/>
      <c r="EX23" s="511"/>
      <c r="EY23" s="303" t="s">
        <v>113</v>
      </c>
      <c r="EZ23" s="507" t="s">
        <v>264</v>
      </c>
      <c r="FA23" s="179"/>
      <c r="FB23" s="179"/>
      <c r="FC23" s="179"/>
      <c r="FD23" s="510"/>
      <c r="FE23" s="179"/>
      <c r="FF23" s="179"/>
      <c r="FG23" s="179"/>
      <c r="FH23" s="510"/>
      <c r="FI23" s="179"/>
      <c r="FJ23" s="179"/>
      <c r="FK23" s="179"/>
      <c r="FL23" s="511"/>
      <c r="FM23" s="303" t="s">
        <v>113</v>
      </c>
      <c r="FN23" s="507" t="s">
        <v>264</v>
      </c>
      <c r="FO23" s="179"/>
      <c r="FP23" s="179"/>
      <c r="FQ23" s="179"/>
      <c r="FR23" s="510"/>
      <c r="FS23" s="179"/>
      <c r="FT23" s="179"/>
      <c r="FU23" s="179"/>
      <c r="FV23" s="510"/>
      <c r="FW23" s="179"/>
      <c r="FX23" s="179"/>
      <c r="FY23" s="179"/>
      <c r="FZ23" s="511"/>
    </row>
    <row r="24" spans="1:182" ht="19.350000000000001" customHeight="1" x14ac:dyDescent="0.2">
      <c r="A24" s="303" t="s">
        <v>114</v>
      </c>
      <c r="B24" s="507" t="s">
        <v>401</v>
      </c>
      <c r="C24" s="510">
        <f>'Combustion (Proposed)'!L13</f>
        <v>9.0353915931573885E-9</v>
      </c>
      <c r="D24" s="510">
        <f>'Combustion (Proposed)'!M13</f>
        <v>3.9575015178029355E-8</v>
      </c>
      <c r="E24" s="510">
        <f>'Combustion (Proposed)'!N13</f>
        <v>3.9575015178029355E-8</v>
      </c>
      <c r="F24" s="263"/>
      <c r="G24" s="263"/>
      <c r="H24" s="263"/>
      <c r="I24" s="263"/>
      <c r="J24" s="263"/>
      <c r="K24" s="263"/>
      <c r="L24" s="263"/>
      <c r="M24" s="263"/>
      <c r="N24" s="508"/>
      <c r="O24" s="303" t="s">
        <v>114</v>
      </c>
      <c r="P24" s="507" t="s">
        <v>401</v>
      </c>
      <c r="Q24" s="179">
        <f>'Combustion (Proposed)'!O78</f>
        <v>3.7064500000000001E-8</v>
      </c>
      <c r="R24" s="179">
        <f>'Combustion (Proposed)'!P78</f>
        <v>1.6234250999999998E-7</v>
      </c>
      <c r="S24" s="179">
        <f>'Combustion (Proposed)'!Q78</f>
        <v>1.6234250999999998E-7</v>
      </c>
      <c r="T24" s="263"/>
      <c r="U24" s="263"/>
      <c r="V24" s="263"/>
      <c r="W24" s="263"/>
      <c r="X24" s="263"/>
      <c r="Y24" s="179"/>
      <c r="Z24" s="179"/>
      <c r="AA24" s="179"/>
      <c r="AB24" s="509"/>
      <c r="AC24" s="303" t="s">
        <v>114</v>
      </c>
      <c r="AD24" s="507" t="s">
        <v>401</v>
      </c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509"/>
      <c r="AQ24" s="303" t="s">
        <v>114</v>
      </c>
      <c r="AR24" s="507" t="s">
        <v>401</v>
      </c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509"/>
      <c r="BE24" s="303" t="s">
        <v>114</v>
      </c>
      <c r="BF24" s="507" t="s">
        <v>401</v>
      </c>
      <c r="BG24" s="179"/>
      <c r="BH24" s="179"/>
      <c r="BI24" s="179"/>
      <c r="BJ24" s="179"/>
      <c r="BK24" s="179">
        <f>'Combustion (Proposed)'!O146</f>
        <v>2.0661666666666669E-7</v>
      </c>
      <c r="BL24" s="179">
        <f>'Combustion (Proposed)'!P146</f>
        <v>9.0498100000000013E-7</v>
      </c>
      <c r="BM24" s="179">
        <f>'Combustion (Proposed)'!Q146</f>
        <v>9.0498100000000013E-7</v>
      </c>
      <c r="BN24" s="179"/>
      <c r="BO24" s="179"/>
      <c r="BP24" s="179"/>
      <c r="BQ24" s="179"/>
      <c r="BR24" s="509"/>
      <c r="BS24" s="303" t="s">
        <v>114</v>
      </c>
      <c r="BT24" s="507" t="s">
        <v>401</v>
      </c>
      <c r="BU24" s="179"/>
      <c r="BV24" s="179"/>
      <c r="BW24" s="179"/>
      <c r="BX24" s="179"/>
      <c r="BY24" s="179"/>
      <c r="BZ24" s="179"/>
      <c r="CA24" s="179"/>
      <c r="CB24" s="179"/>
      <c r="CC24" s="179"/>
      <c r="CD24" s="179"/>
      <c r="CE24" s="179"/>
      <c r="CF24" s="509"/>
      <c r="CG24" s="303" t="s">
        <v>114</v>
      </c>
      <c r="CH24" s="507" t="s">
        <v>401</v>
      </c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79"/>
      <c r="CT24" s="509"/>
      <c r="CU24" s="303" t="s">
        <v>114</v>
      </c>
      <c r="CV24" s="507" t="s">
        <v>401</v>
      </c>
      <c r="CW24" s="179"/>
      <c r="CX24" s="179"/>
      <c r="CY24" s="179"/>
      <c r="CZ24" s="179"/>
      <c r="DA24" s="179"/>
      <c r="DB24" s="179"/>
      <c r="DC24" s="179"/>
      <c r="DD24" s="179"/>
      <c r="DE24" s="179"/>
      <c r="DF24" s="179"/>
      <c r="DG24" s="179"/>
      <c r="DH24" s="509"/>
      <c r="DI24" s="303" t="s">
        <v>114</v>
      </c>
      <c r="DJ24" s="507" t="s">
        <v>401</v>
      </c>
      <c r="DK24" s="179"/>
      <c r="DL24" s="179"/>
      <c r="DM24" s="179"/>
      <c r="DN24" s="179"/>
      <c r="DO24" s="179"/>
      <c r="DP24" s="179"/>
      <c r="DQ24" s="179"/>
      <c r="DR24" s="179"/>
      <c r="DS24" s="179"/>
      <c r="DT24" s="179"/>
      <c r="DU24" s="179"/>
      <c r="DV24" s="509"/>
      <c r="DW24" s="303" t="s">
        <v>114</v>
      </c>
      <c r="DX24" s="507" t="s">
        <v>401</v>
      </c>
      <c r="DY24" s="179"/>
      <c r="DZ24" s="179"/>
      <c r="EA24" s="179"/>
      <c r="EB24" s="179"/>
      <c r="EC24" s="179"/>
      <c r="ED24" s="179"/>
      <c r="EE24" s="179"/>
      <c r="EF24" s="179"/>
      <c r="EG24" s="179"/>
      <c r="EH24" s="179"/>
      <c r="EI24" s="179"/>
      <c r="EJ24" s="509"/>
      <c r="EK24" s="303" t="s">
        <v>114</v>
      </c>
      <c r="EL24" s="507" t="s">
        <v>401</v>
      </c>
      <c r="EM24" s="179"/>
      <c r="EN24" s="179"/>
      <c r="EO24" s="179"/>
      <c r="EP24" s="510"/>
      <c r="EQ24" s="179"/>
      <c r="ER24" s="179"/>
      <c r="ES24" s="179"/>
      <c r="ET24" s="510"/>
      <c r="EU24" s="179"/>
      <c r="EV24" s="179"/>
      <c r="EW24" s="179"/>
      <c r="EX24" s="511"/>
      <c r="EY24" s="303" t="s">
        <v>114</v>
      </c>
      <c r="EZ24" s="507" t="s">
        <v>401</v>
      </c>
      <c r="FA24" s="179"/>
      <c r="FB24" s="179"/>
      <c r="FC24" s="179"/>
      <c r="FD24" s="510"/>
      <c r="FE24" s="179"/>
      <c r="FF24" s="179"/>
      <c r="FG24" s="179"/>
      <c r="FH24" s="510"/>
      <c r="FI24" s="179"/>
      <c r="FJ24" s="179"/>
      <c r="FK24" s="179"/>
      <c r="FL24" s="511"/>
      <c r="FM24" s="303" t="s">
        <v>114</v>
      </c>
      <c r="FN24" s="507" t="s">
        <v>401</v>
      </c>
      <c r="FO24" s="179"/>
      <c r="FP24" s="179"/>
      <c r="FQ24" s="179"/>
      <c r="FR24" s="510"/>
      <c r="FS24" s="179"/>
      <c r="FT24" s="179"/>
      <c r="FU24" s="179"/>
      <c r="FV24" s="510"/>
      <c r="FW24" s="179"/>
      <c r="FX24" s="179"/>
      <c r="FY24" s="179"/>
      <c r="FZ24" s="511"/>
    </row>
    <row r="25" spans="1:182" ht="19.350000000000001" customHeight="1" x14ac:dyDescent="0.2">
      <c r="A25" s="303" t="s">
        <v>115</v>
      </c>
      <c r="B25" s="507" t="s">
        <v>266</v>
      </c>
      <c r="C25" s="510">
        <f>'Combustion (Proposed)'!L14</f>
        <v>4.3569872504553417E-8</v>
      </c>
      <c r="D25" s="510">
        <f>'Combustion (Proposed)'!M14</f>
        <v>1.9083604156994398E-7</v>
      </c>
      <c r="E25" s="510">
        <f>'Combustion (Proposed)'!N14</f>
        <v>1.9083604156994398E-7</v>
      </c>
      <c r="F25" s="263"/>
      <c r="G25" s="263"/>
      <c r="H25" s="263"/>
      <c r="I25" s="263"/>
      <c r="J25" s="263"/>
      <c r="K25" s="263"/>
      <c r="L25" s="263"/>
      <c r="M25" s="263"/>
      <c r="N25" s="508"/>
      <c r="O25" s="303" t="s">
        <v>115</v>
      </c>
      <c r="P25" s="507" t="s">
        <v>266</v>
      </c>
      <c r="Q25" s="179">
        <f>'Combustion (Proposed)'!O79</f>
        <v>1.7872999999999999E-7</v>
      </c>
      <c r="R25" s="179">
        <f>'Combustion (Proposed)'!P79</f>
        <v>7.8283739999999987E-7</v>
      </c>
      <c r="S25" s="179">
        <f>'Combustion (Proposed)'!Q79</f>
        <v>7.8283739999999987E-7</v>
      </c>
      <c r="T25" s="263"/>
      <c r="U25" s="263"/>
      <c r="V25" s="263"/>
      <c r="W25" s="263"/>
      <c r="X25" s="263"/>
      <c r="Y25" s="179"/>
      <c r="Z25" s="179"/>
      <c r="AA25" s="179"/>
      <c r="AB25" s="509"/>
      <c r="AC25" s="303" t="s">
        <v>115</v>
      </c>
      <c r="AD25" s="507" t="s">
        <v>266</v>
      </c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509"/>
      <c r="AQ25" s="303" t="s">
        <v>115</v>
      </c>
      <c r="AR25" s="507" t="s">
        <v>266</v>
      </c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509"/>
      <c r="BE25" s="303" t="s">
        <v>115</v>
      </c>
      <c r="BF25" s="507" t="s">
        <v>266</v>
      </c>
      <c r="BG25" s="179"/>
      <c r="BH25" s="179"/>
      <c r="BI25" s="179"/>
      <c r="BJ25" s="179"/>
      <c r="BK25" s="179">
        <f>'Combustion (Proposed)'!O147</f>
        <v>9.9633333333333351E-7</v>
      </c>
      <c r="BL25" s="179">
        <f>'Combustion (Proposed)'!P147</f>
        <v>4.3639400000000009E-6</v>
      </c>
      <c r="BM25" s="179">
        <f>'Combustion (Proposed)'!Q147</f>
        <v>4.3639400000000009E-6</v>
      </c>
      <c r="BN25" s="179"/>
      <c r="BO25" s="179"/>
      <c r="BP25" s="179"/>
      <c r="BQ25" s="179"/>
      <c r="BR25" s="509"/>
      <c r="BS25" s="303" t="s">
        <v>115</v>
      </c>
      <c r="BT25" s="507" t="s">
        <v>266</v>
      </c>
      <c r="BU25" s="179"/>
      <c r="BV25" s="179"/>
      <c r="BW25" s="179"/>
      <c r="BX25" s="179"/>
      <c r="BY25" s="179"/>
      <c r="BZ25" s="179"/>
      <c r="CA25" s="179"/>
      <c r="CB25" s="179"/>
      <c r="CC25" s="179"/>
      <c r="CD25" s="179"/>
      <c r="CE25" s="179"/>
      <c r="CF25" s="509"/>
      <c r="CG25" s="303" t="s">
        <v>115</v>
      </c>
      <c r="CH25" s="507" t="s">
        <v>266</v>
      </c>
      <c r="CI25" s="179"/>
      <c r="CJ25" s="179"/>
      <c r="CK25" s="179"/>
      <c r="CL25" s="179"/>
      <c r="CM25" s="179"/>
      <c r="CN25" s="179"/>
      <c r="CO25" s="179"/>
      <c r="CP25" s="179"/>
      <c r="CQ25" s="179"/>
      <c r="CR25" s="179"/>
      <c r="CS25" s="179"/>
      <c r="CT25" s="509"/>
      <c r="CU25" s="303" t="s">
        <v>115</v>
      </c>
      <c r="CV25" s="507" t="s">
        <v>266</v>
      </c>
      <c r="CW25" s="179"/>
      <c r="CX25" s="179"/>
      <c r="CY25" s="179"/>
      <c r="CZ25" s="179"/>
      <c r="DA25" s="179"/>
      <c r="DB25" s="179"/>
      <c r="DC25" s="179"/>
      <c r="DD25" s="179"/>
      <c r="DE25" s="179"/>
      <c r="DF25" s="179"/>
      <c r="DG25" s="179"/>
      <c r="DH25" s="509"/>
      <c r="DI25" s="303" t="s">
        <v>115</v>
      </c>
      <c r="DJ25" s="507" t="s">
        <v>266</v>
      </c>
      <c r="DK25" s="179"/>
      <c r="DL25" s="179"/>
      <c r="DM25" s="179"/>
      <c r="DN25" s="179"/>
      <c r="DO25" s="179"/>
      <c r="DP25" s="179"/>
      <c r="DQ25" s="179"/>
      <c r="DR25" s="179"/>
      <c r="DS25" s="179"/>
      <c r="DT25" s="179"/>
      <c r="DU25" s="179"/>
      <c r="DV25" s="509"/>
      <c r="DW25" s="303" t="s">
        <v>115</v>
      </c>
      <c r="DX25" s="507" t="s">
        <v>266</v>
      </c>
      <c r="DY25" s="179"/>
      <c r="DZ25" s="179"/>
      <c r="EA25" s="179"/>
      <c r="EB25" s="179"/>
      <c r="EC25" s="179"/>
      <c r="ED25" s="179"/>
      <c r="EE25" s="179"/>
      <c r="EF25" s="179"/>
      <c r="EG25" s="179"/>
      <c r="EH25" s="179"/>
      <c r="EI25" s="179"/>
      <c r="EJ25" s="509"/>
      <c r="EK25" s="303" t="s">
        <v>115</v>
      </c>
      <c r="EL25" s="507" t="s">
        <v>266</v>
      </c>
      <c r="EM25" s="179"/>
      <c r="EN25" s="179"/>
      <c r="EO25" s="179"/>
      <c r="EP25" s="510"/>
      <c r="EQ25" s="179"/>
      <c r="ER25" s="179"/>
      <c r="ES25" s="179"/>
      <c r="ET25" s="510"/>
      <c r="EU25" s="179"/>
      <c r="EV25" s="179"/>
      <c r="EW25" s="179"/>
      <c r="EX25" s="511"/>
      <c r="EY25" s="303" t="s">
        <v>115</v>
      </c>
      <c r="EZ25" s="507" t="s">
        <v>266</v>
      </c>
      <c r="FA25" s="179"/>
      <c r="FB25" s="179"/>
      <c r="FC25" s="179"/>
      <c r="FD25" s="510"/>
      <c r="FE25" s="179"/>
      <c r="FF25" s="179"/>
      <c r="FG25" s="179"/>
      <c r="FH25" s="510"/>
      <c r="FI25" s="179"/>
      <c r="FJ25" s="179"/>
      <c r="FK25" s="179"/>
      <c r="FL25" s="511"/>
      <c r="FM25" s="303" t="s">
        <v>115</v>
      </c>
      <c r="FN25" s="507" t="s">
        <v>266</v>
      </c>
      <c r="FO25" s="179"/>
      <c r="FP25" s="179"/>
      <c r="FQ25" s="179"/>
      <c r="FR25" s="510"/>
      <c r="FS25" s="179"/>
      <c r="FT25" s="179"/>
      <c r="FU25" s="179"/>
      <c r="FV25" s="510"/>
      <c r="FW25" s="179"/>
      <c r="FX25" s="179"/>
      <c r="FY25" s="179"/>
      <c r="FZ25" s="511"/>
    </row>
    <row r="26" spans="1:182" ht="19.350000000000001" customHeight="1" x14ac:dyDescent="0.2">
      <c r="A26" s="303" t="s">
        <v>116</v>
      </c>
      <c r="B26" s="507" t="s">
        <v>267</v>
      </c>
      <c r="C26" s="510">
        <f>'Combustion (Proposed)'!L15</f>
        <v>1.4320917110103211E-7</v>
      </c>
      <c r="D26" s="510">
        <f>'Combustion (Proposed)'!M15</f>
        <v>6.2725616942252073E-7</v>
      </c>
      <c r="E26" s="510">
        <f>'Combustion (Proposed)'!N15</f>
        <v>6.2725616942252073E-7</v>
      </c>
      <c r="F26" s="263"/>
      <c r="G26" s="263"/>
      <c r="H26" s="263"/>
      <c r="I26" s="263"/>
      <c r="J26" s="263"/>
      <c r="K26" s="263"/>
      <c r="L26" s="263"/>
      <c r="M26" s="263"/>
      <c r="N26" s="508"/>
      <c r="O26" s="303" t="s">
        <v>116</v>
      </c>
      <c r="P26" s="507" t="s">
        <v>267</v>
      </c>
      <c r="Q26" s="179">
        <f>'Combustion (Proposed)'!O80</f>
        <v>5.8746499999999997E-7</v>
      </c>
      <c r="R26" s="179">
        <f>'Combustion (Proposed)'!P80</f>
        <v>2.5730966999999999E-6</v>
      </c>
      <c r="S26" s="179">
        <f>'Combustion (Proposed)'!Q80</f>
        <v>2.5730966999999999E-6</v>
      </c>
      <c r="T26" s="263"/>
      <c r="U26" s="263"/>
      <c r="V26" s="263"/>
      <c r="W26" s="263"/>
      <c r="X26" s="263"/>
      <c r="Y26" s="179"/>
      <c r="Z26" s="179"/>
      <c r="AA26" s="179"/>
      <c r="AB26" s="509"/>
      <c r="AC26" s="303" t="s">
        <v>116</v>
      </c>
      <c r="AD26" s="507" t="s">
        <v>267</v>
      </c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509"/>
      <c r="AQ26" s="303" t="s">
        <v>116</v>
      </c>
      <c r="AR26" s="507" t="s">
        <v>267</v>
      </c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509"/>
      <c r="BE26" s="303" t="s">
        <v>116</v>
      </c>
      <c r="BF26" s="507" t="s">
        <v>267</v>
      </c>
      <c r="BG26" s="179"/>
      <c r="BH26" s="179"/>
      <c r="BI26" s="179"/>
      <c r="BJ26" s="179"/>
      <c r="BK26" s="179">
        <f>'Combustion (Proposed)'!O148</f>
        <v>3.2748333333333334E-6</v>
      </c>
      <c r="BL26" s="179">
        <f>'Combustion (Proposed)'!P148</f>
        <v>1.4343770000000001E-5</v>
      </c>
      <c r="BM26" s="179">
        <f>'Combustion (Proposed)'!Q148</f>
        <v>1.4343770000000001E-5</v>
      </c>
      <c r="BN26" s="179"/>
      <c r="BO26" s="179"/>
      <c r="BP26" s="179"/>
      <c r="BQ26" s="179"/>
      <c r="BR26" s="509"/>
      <c r="BS26" s="303" t="s">
        <v>116</v>
      </c>
      <c r="BT26" s="507" t="s">
        <v>267</v>
      </c>
      <c r="BU26" s="179"/>
      <c r="BV26" s="179"/>
      <c r="BW26" s="179"/>
      <c r="BX26" s="179"/>
      <c r="BY26" s="179"/>
      <c r="BZ26" s="179"/>
      <c r="CA26" s="179"/>
      <c r="CB26" s="179"/>
      <c r="CC26" s="179"/>
      <c r="CD26" s="179"/>
      <c r="CE26" s="179"/>
      <c r="CF26" s="509"/>
      <c r="CG26" s="303" t="s">
        <v>116</v>
      </c>
      <c r="CH26" s="507" t="s">
        <v>267</v>
      </c>
      <c r="CI26" s="179"/>
      <c r="CJ26" s="179"/>
      <c r="CK26" s="179"/>
      <c r="CL26" s="179"/>
      <c r="CM26" s="179"/>
      <c r="CN26" s="179"/>
      <c r="CO26" s="179"/>
      <c r="CP26" s="179"/>
      <c r="CQ26" s="179"/>
      <c r="CR26" s="179"/>
      <c r="CS26" s="179"/>
      <c r="CT26" s="509"/>
      <c r="CU26" s="303" t="s">
        <v>116</v>
      </c>
      <c r="CV26" s="507" t="s">
        <v>267</v>
      </c>
      <c r="CW26" s="179"/>
      <c r="CX26" s="179"/>
      <c r="CY26" s="179"/>
      <c r="CZ26" s="179"/>
      <c r="DA26" s="179"/>
      <c r="DB26" s="179"/>
      <c r="DC26" s="179"/>
      <c r="DD26" s="179"/>
      <c r="DE26" s="179"/>
      <c r="DF26" s="179"/>
      <c r="DG26" s="179"/>
      <c r="DH26" s="509"/>
      <c r="DI26" s="303" t="s">
        <v>116</v>
      </c>
      <c r="DJ26" s="507" t="s">
        <v>267</v>
      </c>
      <c r="DK26" s="179"/>
      <c r="DL26" s="179"/>
      <c r="DM26" s="179"/>
      <c r="DN26" s="179"/>
      <c r="DO26" s="179"/>
      <c r="DP26" s="179"/>
      <c r="DQ26" s="179"/>
      <c r="DR26" s="179"/>
      <c r="DS26" s="179"/>
      <c r="DT26" s="179"/>
      <c r="DU26" s="179"/>
      <c r="DV26" s="509"/>
      <c r="DW26" s="303" t="s">
        <v>116</v>
      </c>
      <c r="DX26" s="507" t="s">
        <v>267</v>
      </c>
      <c r="DY26" s="179"/>
      <c r="DZ26" s="179"/>
      <c r="EA26" s="179"/>
      <c r="EB26" s="179"/>
      <c r="EC26" s="179"/>
      <c r="ED26" s="179"/>
      <c r="EE26" s="179"/>
      <c r="EF26" s="179"/>
      <c r="EG26" s="179"/>
      <c r="EH26" s="179"/>
      <c r="EI26" s="179"/>
      <c r="EJ26" s="509"/>
      <c r="EK26" s="303" t="s">
        <v>116</v>
      </c>
      <c r="EL26" s="507" t="s">
        <v>267</v>
      </c>
      <c r="EM26" s="179"/>
      <c r="EN26" s="179"/>
      <c r="EO26" s="179"/>
      <c r="EP26" s="510"/>
      <c r="EQ26" s="179"/>
      <c r="ER26" s="179"/>
      <c r="ES26" s="179"/>
      <c r="ET26" s="510"/>
      <c r="EU26" s="179"/>
      <c r="EV26" s="179"/>
      <c r="EW26" s="179"/>
      <c r="EX26" s="511"/>
      <c r="EY26" s="303" t="s">
        <v>116</v>
      </c>
      <c r="EZ26" s="507" t="s">
        <v>267</v>
      </c>
      <c r="FA26" s="179"/>
      <c r="FB26" s="179"/>
      <c r="FC26" s="179"/>
      <c r="FD26" s="510"/>
      <c r="FE26" s="179"/>
      <c r="FF26" s="179"/>
      <c r="FG26" s="179"/>
      <c r="FH26" s="510"/>
      <c r="FI26" s="179"/>
      <c r="FJ26" s="179"/>
      <c r="FK26" s="179"/>
      <c r="FL26" s="511"/>
      <c r="FM26" s="303" t="s">
        <v>116</v>
      </c>
      <c r="FN26" s="507" t="s">
        <v>267</v>
      </c>
      <c r="FO26" s="179"/>
      <c r="FP26" s="179"/>
      <c r="FQ26" s="179"/>
      <c r="FR26" s="510"/>
      <c r="FS26" s="179"/>
      <c r="FT26" s="179"/>
      <c r="FU26" s="179"/>
      <c r="FV26" s="510"/>
      <c r="FW26" s="179"/>
      <c r="FX26" s="179"/>
      <c r="FY26" s="179"/>
      <c r="FZ26" s="511"/>
    </row>
    <row r="27" spans="1:182" ht="19.350000000000001" customHeight="1" x14ac:dyDescent="0.2">
      <c r="A27" s="303" t="s">
        <v>117</v>
      </c>
      <c r="B27" s="507" t="s">
        <v>268</v>
      </c>
      <c r="C27" s="510">
        <f>'Combustion (Proposed)'!L16</f>
        <v>1.0294117647058823E-5</v>
      </c>
      <c r="D27" s="510">
        <f>'Combustion (Proposed)'!M16</f>
        <v>4.5088235294117644E-5</v>
      </c>
      <c r="E27" s="510">
        <f>'Combustion (Proposed)'!N16</f>
        <v>4.5088235294117644E-5</v>
      </c>
      <c r="F27" s="263"/>
      <c r="G27" s="263"/>
      <c r="H27" s="263"/>
      <c r="I27" s="263"/>
      <c r="J27" s="263"/>
      <c r="K27" s="263"/>
      <c r="L27" s="263"/>
      <c r="M27" s="263"/>
      <c r="N27" s="508"/>
      <c r="O27" s="303" t="s">
        <v>117</v>
      </c>
      <c r="P27" s="507" t="s">
        <v>268</v>
      </c>
      <c r="Q27" s="179">
        <f>'Combustion (Proposed)'!O81</f>
        <v>3.6194117647058815E-5</v>
      </c>
      <c r="R27" s="179">
        <f>'Combustion (Proposed)'!P81</f>
        <v>1.5853023529411762E-4</v>
      </c>
      <c r="S27" s="179">
        <f>'Combustion (Proposed)'!Q81</f>
        <v>1.5853023529411762E-4</v>
      </c>
      <c r="T27" s="263"/>
      <c r="U27" s="263"/>
      <c r="V27" s="263"/>
      <c r="W27" s="263"/>
      <c r="X27" s="263"/>
      <c r="Y27" s="179"/>
      <c r="Z27" s="179"/>
      <c r="AA27" s="179"/>
      <c r="AB27" s="509"/>
      <c r="AC27" s="303" t="s">
        <v>117</v>
      </c>
      <c r="AD27" s="507" t="s">
        <v>268</v>
      </c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509"/>
      <c r="AQ27" s="303" t="s">
        <v>117</v>
      </c>
      <c r="AR27" s="507" t="s">
        <v>268</v>
      </c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509"/>
      <c r="BE27" s="303" t="s">
        <v>117</v>
      </c>
      <c r="BF27" s="507" t="s">
        <v>268</v>
      </c>
      <c r="BG27" s="179"/>
      <c r="BH27" s="179"/>
      <c r="BI27" s="179"/>
      <c r="BJ27" s="179"/>
      <c r="BK27" s="179">
        <f>'Combustion (Proposed)'!O149</f>
        <v>2.0176470588235295E-4</v>
      </c>
      <c r="BL27" s="179">
        <f>'Combustion (Proposed)'!P149</f>
        <v>8.8372941176470586E-4</v>
      </c>
      <c r="BM27" s="179">
        <f>'Combustion (Proposed)'!Q149</f>
        <v>8.8372941176470586E-4</v>
      </c>
      <c r="BN27" s="179"/>
      <c r="BO27" s="179"/>
      <c r="BP27" s="179"/>
      <c r="BQ27" s="179"/>
      <c r="BR27" s="509"/>
      <c r="BS27" s="303" t="s">
        <v>117</v>
      </c>
      <c r="BT27" s="507" t="s">
        <v>268</v>
      </c>
      <c r="BU27" s="179"/>
      <c r="BV27" s="179"/>
      <c r="BW27" s="179"/>
      <c r="BX27" s="179"/>
      <c r="BY27" s="179"/>
      <c r="BZ27" s="179"/>
      <c r="CA27" s="179"/>
      <c r="CB27" s="179"/>
      <c r="CC27" s="179"/>
      <c r="CD27" s="179"/>
      <c r="CE27" s="179"/>
      <c r="CF27" s="509"/>
      <c r="CG27" s="303" t="s">
        <v>117</v>
      </c>
      <c r="CH27" s="507" t="s">
        <v>268</v>
      </c>
      <c r="CI27" s="179"/>
      <c r="CJ27" s="179"/>
      <c r="CK27" s="179"/>
      <c r="CL27" s="179"/>
      <c r="CM27" s="179"/>
      <c r="CN27" s="179"/>
      <c r="CO27" s="179"/>
      <c r="CP27" s="179"/>
      <c r="CQ27" s="179"/>
      <c r="CR27" s="179"/>
      <c r="CS27" s="179"/>
      <c r="CT27" s="509"/>
      <c r="CU27" s="303" t="s">
        <v>117</v>
      </c>
      <c r="CV27" s="507" t="s">
        <v>268</v>
      </c>
      <c r="CW27" s="179"/>
      <c r="CX27" s="179"/>
      <c r="CY27" s="179"/>
      <c r="CZ27" s="179"/>
      <c r="DA27" s="179"/>
      <c r="DB27" s="179"/>
      <c r="DC27" s="179"/>
      <c r="DD27" s="179"/>
      <c r="DE27" s="179"/>
      <c r="DF27" s="179"/>
      <c r="DG27" s="179"/>
      <c r="DH27" s="509"/>
      <c r="DI27" s="303" t="s">
        <v>117</v>
      </c>
      <c r="DJ27" s="507" t="s">
        <v>268</v>
      </c>
      <c r="DK27" s="179"/>
      <c r="DL27" s="179"/>
      <c r="DM27" s="179"/>
      <c r="DN27" s="179"/>
      <c r="DO27" s="179"/>
      <c r="DP27" s="179"/>
      <c r="DQ27" s="179"/>
      <c r="DR27" s="179"/>
      <c r="DS27" s="179"/>
      <c r="DT27" s="179"/>
      <c r="DU27" s="179"/>
      <c r="DV27" s="509"/>
      <c r="DW27" s="303" t="s">
        <v>117</v>
      </c>
      <c r="DX27" s="507" t="s">
        <v>268</v>
      </c>
      <c r="DY27" s="179"/>
      <c r="DZ27" s="179"/>
      <c r="EA27" s="179"/>
      <c r="EB27" s="179"/>
      <c r="EC27" s="179"/>
      <c r="ED27" s="179"/>
      <c r="EE27" s="179"/>
      <c r="EF27" s="179"/>
      <c r="EG27" s="179"/>
      <c r="EH27" s="179"/>
      <c r="EI27" s="179"/>
      <c r="EJ27" s="509"/>
      <c r="EK27" s="303" t="s">
        <v>117</v>
      </c>
      <c r="EL27" s="507" t="s">
        <v>268</v>
      </c>
      <c r="EM27" s="179"/>
      <c r="EN27" s="179"/>
      <c r="EO27" s="179"/>
      <c r="EP27" s="510"/>
      <c r="EQ27" s="179"/>
      <c r="ER27" s="179"/>
      <c r="ES27" s="179"/>
      <c r="ET27" s="510"/>
      <c r="EU27" s="179"/>
      <c r="EV27" s="179"/>
      <c r="EW27" s="179"/>
      <c r="EX27" s="509"/>
      <c r="EY27" s="303" t="s">
        <v>117</v>
      </c>
      <c r="EZ27" s="507" t="s">
        <v>268</v>
      </c>
      <c r="FA27" s="179"/>
      <c r="FB27" s="179"/>
      <c r="FC27" s="179"/>
      <c r="FD27" s="510"/>
      <c r="FE27" s="179"/>
      <c r="FF27" s="179"/>
      <c r="FG27" s="179"/>
      <c r="FH27" s="510"/>
      <c r="FI27" s="179"/>
      <c r="FJ27" s="179"/>
      <c r="FK27" s="179"/>
      <c r="FL27" s="511"/>
      <c r="FM27" s="303" t="s">
        <v>117</v>
      </c>
      <c r="FN27" s="507" t="s">
        <v>268</v>
      </c>
      <c r="FO27" s="179"/>
      <c r="FP27" s="179"/>
      <c r="FQ27" s="179"/>
      <c r="FR27" s="510"/>
      <c r="FS27" s="179"/>
      <c r="FT27" s="179"/>
      <c r="FU27" s="179"/>
      <c r="FV27" s="510"/>
      <c r="FW27" s="179"/>
      <c r="FX27" s="179"/>
      <c r="FY27" s="179"/>
      <c r="FZ27" s="511"/>
    </row>
    <row r="28" spans="1:182" ht="19.350000000000001" customHeight="1" x14ac:dyDescent="0.2">
      <c r="A28" s="303" t="s">
        <v>118</v>
      </c>
      <c r="B28" s="507" t="s">
        <v>269</v>
      </c>
      <c r="C28" s="510">
        <f>'Combustion (Proposed)'!L17</f>
        <v>5.8823529411764704E-9</v>
      </c>
      <c r="D28" s="510">
        <f>'Combustion (Proposed)'!M17</f>
        <v>2.5764705882352942E-8</v>
      </c>
      <c r="E28" s="510">
        <f>'Combustion (Proposed)'!N17</f>
        <v>2.5764705882352942E-8</v>
      </c>
      <c r="F28" s="263"/>
      <c r="G28" s="263"/>
      <c r="H28" s="263"/>
      <c r="I28" s="263"/>
      <c r="J28" s="263"/>
      <c r="K28" s="263"/>
      <c r="L28" s="263"/>
      <c r="M28" s="263"/>
      <c r="N28" s="508"/>
      <c r="O28" s="303" t="s">
        <v>118</v>
      </c>
      <c r="P28" s="507" t="s">
        <v>269</v>
      </c>
      <c r="Q28" s="179">
        <f>'Combustion (Proposed)'!O82</f>
        <v>2.0682352941176466E-8</v>
      </c>
      <c r="R28" s="179">
        <f>'Combustion (Proposed)'!P82</f>
        <v>9.0588705882352931E-8</v>
      </c>
      <c r="S28" s="179">
        <f>'Combustion (Proposed)'!Q82</f>
        <v>9.0588705882352931E-8</v>
      </c>
      <c r="T28" s="263"/>
      <c r="U28" s="263"/>
      <c r="V28" s="263"/>
      <c r="W28" s="263"/>
      <c r="X28" s="263"/>
      <c r="Y28" s="179"/>
      <c r="Z28" s="179"/>
      <c r="AA28" s="179"/>
      <c r="AB28" s="509"/>
      <c r="AC28" s="303" t="s">
        <v>118</v>
      </c>
      <c r="AD28" s="507" t="s">
        <v>269</v>
      </c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509"/>
      <c r="AQ28" s="303" t="s">
        <v>118</v>
      </c>
      <c r="AR28" s="507" t="s">
        <v>269</v>
      </c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509"/>
      <c r="BE28" s="303" t="s">
        <v>118</v>
      </c>
      <c r="BF28" s="507" t="s">
        <v>269</v>
      </c>
      <c r="BG28" s="179"/>
      <c r="BH28" s="179"/>
      <c r="BI28" s="179"/>
      <c r="BJ28" s="179"/>
      <c r="BK28" s="179">
        <f>'Combustion (Proposed)'!O150</f>
        <v>1.1529411764705883E-7</v>
      </c>
      <c r="BL28" s="179">
        <f>'Combustion (Proposed)'!P150</f>
        <v>5.0498823529411771E-7</v>
      </c>
      <c r="BM28" s="179">
        <f>'Combustion (Proposed)'!Q150</f>
        <v>5.0498823529411771E-7</v>
      </c>
      <c r="BN28" s="179"/>
      <c r="BO28" s="179"/>
      <c r="BP28" s="179"/>
      <c r="BQ28" s="179"/>
      <c r="BR28" s="509"/>
      <c r="BS28" s="303" t="s">
        <v>118</v>
      </c>
      <c r="BT28" s="507" t="s">
        <v>269</v>
      </c>
      <c r="BU28" s="179"/>
      <c r="BV28" s="179"/>
      <c r="BW28" s="179"/>
      <c r="BX28" s="179"/>
      <c r="BY28" s="179"/>
      <c r="BZ28" s="179"/>
      <c r="CA28" s="179"/>
      <c r="CB28" s="179"/>
      <c r="CC28" s="179"/>
      <c r="CD28" s="179"/>
      <c r="CE28" s="179"/>
      <c r="CF28" s="509"/>
      <c r="CG28" s="303" t="s">
        <v>118</v>
      </c>
      <c r="CH28" s="507" t="s">
        <v>269</v>
      </c>
      <c r="CI28" s="179"/>
      <c r="CJ28" s="179"/>
      <c r="CK28" s="179"/>
      <c r="CL28" s="179"/>
      <c r="CM28" s="179"/>
      <c r="CN28" s="179"/>
      <c r="CO28" s="179"/>
      <c r="CP28" s="179"/>
      <c r="CQ28" s="179"/>
      <c r="CR28" s="179"/>
      <c r="CS28" s="179"/>
      <c r="CT28" s="509"/>
      <c r="CU28" s="303" t="s">
        <v>118</v>
      </c>
      <c r="CV28" s="507" t="s">
        <v>269</v>
      </c>
      <c r="CW28" s="179"/>
      <c r="CX28" s="179"/>
      <c r="CY28" s="179"/>
      <c r="CZ28" s="179"/>
      <c r="DA28" s="179"/>
      <c r="DB28" s="179"/>
      <c r="DC28" s="179"/>
      <c r="DD28" s="179"/>
      <c r="DE28" s="179"/>
      <c r="DF28" s="179"/>
      <c r="DG28" s="179"/>
      <c r="DH28" s="509"/>
      <c r="DI28" s="303" t="s">
        <v>118</v>
      </c>
      <c r="DJ28" s="507" t="s">
        <v>269</v>
      </c>
      <c r="DK28" s="179"/>
      <c r="DL28" s="179"/>
      <c r="DM28" s="179"/>
      <c r="DN28" s="179"/>
      <c r="DO28" s="179"/>
      <c r="DP28" s="179"/>
      <c r="DQ28" s="179"/>
      <c r="DR28" s="179"/>
      <c r="DS28" s="179"/>
      <c r="DT28" s="179"/>
      <c r="DU28" s="179"/>
      <c r="DV28" s="509"/>
      <c r="DW28" s="303" t="s">
        <v>118</v>
      </c>
      <c r="DX28" s="507" t="s">
        <v>269</v>
      </c>
      <c r="DY28" s="179"/>
      <c r="DZ28" s="179"/>
      <c r="EA28" s="179"/>
      <c r="EB28" s="179"/>
      <c r="EC28" s="179"/>
      <c r="ED28" s="179"/>
      <c r="EE28" s="179"/>
      <c r="EF28" s="179"/>
      <c r="EG28" s="179"/>
      <c r="EH28" s="179"/>
      <c r="EI28" s="179"/>
      <c r="EJ28" s="509"/>
      <c r="EK28" s="303" t="s">
        <v>118</v>
      </c>
      <c r="EL28" s="507" t="s">
        <v>269</v>
      </c>
      <c r="EM28" s="179"/>
      <c r="EN28" s="179"/>
      <c r="EO28" s="179"/>
      <c r="EP28" s="510"/>
      <c r="EQ28" s="179"/>
      <c r="ER28" s="179"/>
      <c r="ES28" s="179"/>
      <c r="ET28" s="510"/>
      <c r="EU28" s="179"/>
      <c r="EV28" s="179"/>
      <c r="EW28" s="179"/>
      <c r="EX28" s="509"/>
      <c r="EY28" s="303" t="s">
        <v>118</v>
      </c>
      <c r="EZ28" s="507" t="s">
        <v>269</v>
      </c>
      <c r="FA28" s="179"/>
      <c r="FB28" s="179"/>
      <c r="FC28" s="179"/>
      <c r="FD28" s="510"/>
      <c r="FE28" s="179"/>
      <c r="FF28" s="179"/>
      <c r="FG28" s="179"/>
      <c r="FH28" s="510"/>
      <c r="FI28" s="179"/>
      <c r="FJ28" s="179"/>
      <c r="FK28" s="179"/>
      <c r="FL28" s="511"/>
      <c r="FM28" s="303" t="s">
        <v>118</v>
      </c>
      <c r="FN28" s="507" t="s">
        <v>269</v>
      </c>
      <c r="FO28" s="179"/>
      <c r="FP28" s="179"/>
      <c r="FQ28" s="179"/>
      <c r="FR28" s="510"/>
      <c r="FS28" s="179"/>
      <c r="FT28" s="179"/>
      <c r="FU28" s="179"/>
      <c r="FV28" s="510"/>
      <c r="FW28" s="179"/>
      <c r="FX28" s="179"/>
      <c r="FY28" s="179"/>
      <c r="FZ28" s="511"/>
    </row>
    <row r="29" spans="1:182" s="171" customFormat="1" ht="19.350000000000001" customHeight="1" x14ac:dyDescent="0.2">
      <c r="A29" s="512"/>
      <c r="B29" s="513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512"/>
      <c r="P29" s="513"/>
      <c r="Q29" s="195"/>
      <c r="R29" s="195"/>
      <c r="S29" s="195"/>
      <c r="T29" s="195"/>
      <c r="U29" s="195"/>
      <c r="V29" s="195"/>
      <c r="W29" s="195"/>
      <c r="X29" s="195"/>
      <c r="Y29" s="514"/>
      <c r="Z29" s="514"/>
      <c r="AA29" s="514"/>
      <c r="AB29" s="514"/>
      <c r="AC29" s="512"/>
      <c r="AD29" s="513"/>
      <c r="AE29" s="514"/>
      <c r="AF29" s="514"/>
      <c r="AG29" s="514"/>
      <c r="AH29" s="514"/>
      <c r="AI29" s="514"/>
      <c r="AJ29" s="514"/>
      <c r="AK29" s="514"/>
      <c r="AL29" s="514"/>
      <c r="AM29" s="514"/>
      <c r="AN29" s="514"/>
      <c r="AO29" s="514"/>
      <c r="AP29" s="514"/>
      <c r="AQ29" s="512"/>
      <c r="AR29" s="513"/>
      <c r="AS29" s="514"/>
      <c r="AT29" s="514"/>
      <c r="AU29" s="514"/>
      <c r="AV29" s="514"/>
      <c r="AW29" s="514"/>
      <c r="AX29" s="514"/>
      <c r="AY29" s="514"/>
      <c r="AZ29" s="514"/>
      <c r="BA29" s="514"/>
      <c r="BB29" s="514"/>
      <c r="BC29" s="514"/>
      <c r="BD29" s="514"/>
      <c r="BE29" s="512"/>
      <c r="BF29" s="513"/>
      <c r="BG29" s="514"/>
      <c r="BH29" s="514"/>
      <c r="BI29" s="514"/>
      <c r="BJ29" s="514"/>
      <c r="BK29" s="514"/>
      <c r="BL29" s="514"/>
      <c r="BM29" s="514"/>
      <c r="BN29" s="514"/>
      <c r="BO29" s="514"/>
      <c r="BP29" s="514"/>
      <c r="BQ29" s="514"/>
      <c r="BR29" s="514"/>
      <c r="BS29" s="512"/>
      <c r="BT29" s="513"/>
      <c r="BU29" s="514"/>
      <c r="BV29" s="514"/>
      <c r="BW29" s="514"/>
      <c r="BX29" s="514"/>
      <c r="BY29" s="514"/>
      <c r="BZ29" s="514"/>
      <c r="CA29" s="514"/>
      <c r="CB29" s="514"/>
      <c r="CC29" s="514"/>
      <c r="CD29" s="514"/>
      <c r="CE29" s="514"/>
      <c r="CF29" s="514"/>
      <c r="CG29" s="512"/>
      <c r="CH29" s="513"/>
      <c r="CI29" s="514"/>
      <c r="CJ29" s="514"/>
      <c r="CK29" s="514"/>
      <c r="CL29" s="514"/>
      <c r="CM29" s="514"/>
      <c r="CN29" s="514"/>
      <c r="CO29" s="514"/>
      <c r="CP29" s="514"/>
      <c r="CQ29" s="514"/>
      <c r="CR29" s="514"/>
      <c r="CS29" s="514"/>
      <c r="CT29" s="514"/>
      <c r="CU29" s="512"/>
      <c r="CV29" s="513"/>
      <c r="CW29" s="514"/>
      <c r="CX29" s="514"/>
      <c r="CY29" s="514"/>
      <c r="CZ29" s="514"/>
      <c r="DA29" s="514"/>
      <c r="DB29" s="514"/>
      <c r="DC29" s="514"/>
      <c r="DD29" s="514"/>
      <c r="DE29" s="514"/>
      <c r="DF29" s="514"/>
      <c r="DG29" s="514"/>
      <c r="DH29" s="514"/>
      <c r="DI29" s="512"/>
      <c r="DJ29" s="513"/>
      <c r="DK29" s="514"/>
      <c r="DL29" s="514"/>
      <c r="DM29" s="514"/>
      <c r="DN29" s="514"/>
      <c r="DO29" s="514"/>
      <c r="DP29" s="514"/>
      <c r="DQ29" s="514"/>
      <c r="DR29" s="514"/>
      <c r="DS29" s="514"/>
      <c r="DT29" s="514"/>
      <c r="DU29" s="514"/>
      <c r="DV29" s="514"/>
      <c r="DW29" s="512"/>
      <c r="DX29" s="513"/>
      <c r="DY29" s="514"/>
      <c r="DZ29" s="514"/>
      <c r="EA29" s="514"/>
      <c r="EB29" s="514"/>
      <c r="EC29" s="514"/>
      <c r="ED29" s="514"/>
      <c r="EE29" s="514"/>
      <c r="EF29" s="514"/>
      <c r="EG29" s="514"/>
      <c r="EH29" s="514"/>
      <c r="EI29" s="514"/>
      <c r="EJ29" s="514"/>
      <c r="EK29" s="512"/>
      <c r="EL29" s="513"/>
      <c r="EM29" s="514"/>
      <c r="EN29" s="514"/>
      <c r="EO29" s="514"/>
      <c r="EP29" s="514"/>
      <c r="EQ29" s="514"/>
      <c r="ER29" s="514"/>
      <c r="ES29" s="514"/>
      <c r="ET29" s="514"/>
      <c r="EU29" s="514"/>
      <c r="EV29" s="514"/>
      <c r="EW29" s="514"/>
      <c r="EX29" s="514"/>
      <c r="EY29" s="512"/>
      <c r="EZ29" s="513"/>
      <c r="FA29" s="514"/>
      <c r="FB29" s="514"/>
      <c r="FC29" s="514"/>
      <c r="FD29" s="514"/>
      <c r="FE29" s="514"/>
      <c r="FF29" s="514"/>
      <c r="FG29" s="514"/>
      <c r="FH29" s="514"/>
      <c r="FI29" s="514"/>
      <c r="FJ29" s="514"/>
      <c r="FK29" s="514"/>
      <c r="FL29" s="514"/>
      <c r="FM29" s="512"/>
      <c r="FN29" s="513"/>
      <c r="FO29" s="514"/>
      <c r="FP29" s="514"/>
      <c r="FQ29" s="514"/>
      <c r="FR29" s="514"/>
      <c r="FS29" s="514"/>
      <c r="FT29" s="514"/>
      <c r="FU29" s="514"/>
      <c r="FV29" s="514"/>
      <c r="FW29" s="514"/>
      <c r="FX29" s="514"/>
      <c r="FY29" s="514"/>
      <c r="FZ29" s="514"/>
    </row>
    <row r="30" spans="1:182" s="171" customFormat="1" ht="19.350000000000001" customHeight="1" x14ac:dyDescent="0.2">
      <c r="A30" s="512"/>
      <c r="B30" s="513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512"/>
      <c r="P30" s="513"/>
      <c r="Q30" s="195"/>
      <c r="R30" s="195"/>
      <c r="S30" s="195"/>
      <c r="T30" s="195"/>
      <c r="U30" s="195"/>
      <c r="V30" s="195"/>
      <c r="W30" s="195"/>
      <c r="X30" s="195"/>
      <c r="Y30" s="514"/>
      <c r="Z30" s="514"/>
      <c r="AA30" s="514"/>
      <c r="AB30" s="514"/>
      <c r="AC30" s="512"/>
      <c r="AD30" s="513"/>
      <c r="AE30" s="514"/>
      <c r="AF30" s="514"/>
      <c r="AG30" s="514"/>
      <c r="AH30" s="514"/>
      <c r="AI30" s="514"/>
      <c r="AJ30" s="514"/>
      <c r="AK30" s="514"/>
      <c r="AL30" s="514"/>
      <c r="AM30" s="514"/>
      <c r="AN30" s="514"/>
      <c r="AO30" s="514"/>
      <c r="AP30" s="514"/>
      <c r="AQ30" s="512"/>
      <c r="AR30" s="513"/>
      <c r="AS30" s="514"/>
      <c r="AT30" s="514"/>
      <c r="AU30" s="514"/>
      <c r="AV30" s="514"/>
      <c r="AW30" s="514"/>
      <c r="AX30" s="514"/>
      <c r="AY30" s="514"/>
      <c r="AZ30" s="514"/>
      <c r="BA30" s="514"/>
      <c r="BB30" s="514"/>
      <c r="BC30" s="514"/>
      <c r="BD30" s="514"/>
      <c r="BE30" s="512"/>
      <c r="BF30" s="513"/>
      <c r="BG30" s="514"/>
      <c r="BH30" s="514"/>
      <c r="BI30" s="514"/>
      <c r="BJ30" s="514"/>
      <c r="BK30" s="514"/>
      <c r="BL30" s="514"/>
      <c r="BM30" s="514"/>
      <c r="BN30" s="514"/>
      <c r="BO30" s="514"/>
      <c r="BP30" s="514"/>
      <c r="BQ30" s="514"/>
      <c r="BR30" s="514"/>
      <c r="BS30" s="512"/>
      <c r="BT30" s="513"/>
      <c r="BU30" s="514"/>
      <c r="BV30" s="514"/>
      <c r="BW30" s="514"/>
      <c r="BX30" s="514"/>
      <c r="BY30" s="514"/>
      <c r="BZ30" s="514"/>
      <c r="CA30" s="514"/>
      <c r="CB30" s="514"/>
      <c r="CC30" s="514"/>
      <c r="CD30" s="514"/>
      <c r="CE30" s="514"/>
      <c r="CF30" s="514"/>
      <c r="CG30" s="512"/>
      <c r="CH30" s="513"/>
      <c r="CI30" s="514"/>
      <c r="CJ30" s="514"/>
      <c r="CK30" s="514"/>
      <c r="CL30" s="514"/>
      <c r="CM30" s="514"/>
      <c r="CN30" s="514"/>
      <c r="CO30" s="514"/>
      <c r="CP30" s="514"/>
      <c r="CQ30" s="514"/>
      <c r="CR30" s="514"/>
      <c r="CS30" s="514"/>
      <c r="CT30" s="514"/>
      <c r="CU30" s="512"/>
      <c r="CV30" s="513"/>
      <c r="CW30" s="514"/>
      <c r="CX30" s="514"/>
      <c r="CY30" s="514"/>
      <c r="CZ30" s="514"/>
      <c r="DA30" s="514"/>
      <c r="DB30" s="514"/>
      <c r="DC30" s="514"/>
      <c r="DD30" s="514"/>
      <c r="DE30" s="514"/>
      <c r="DF30" s="514"/>
      <c r="DG30" s="514"/>
      <c r="DH30" s="514"/>
      <c r="DI30" s="512"/>
      <c r="DJ30" s="513"/>
      <c r="DK30" s="514"/>
      <c r="DL30" s="514"/>
      <c r="DM30" s="514"/>
      <c r="DN30" s="514"/>
      <c r="DO30" s="514"/>
      <c r="DP30" s="514"/>
      <c r="DQ30" s="514"/>
      <c r="DR30" s="514"/>
      <c r="DS30" s="514"/>
      <c r="DT30" s="514"/>
      <c r="DU30" s="514"/>
      <c r="DV30" s="514"/>
      <c r="DW30" s="512"/>
      <c r="DX30" s="513"/>
      <c r="DY30" s="514"/>
      <c r="DZ30" s="514"/>
      <c r="EA30" s="514"/>
      <c r="EB30" s="514"/>
      <c r="EC30" s="514"/>
      <c r="ED30" s="514"/>
      <c r="EE30" s="514"/>
      <c r="EF30" s="514"/>
      <c r="EG30" s="514"/>
      <c r="EH30" s="514"/>
      <c r="EI30" s="514"/>
      <c r="EJ30" s="514"/>
      <c r="EK30" s="512"/>
      <c r="EL30" s="513"/>
      <c r="EM30" s="514"/>
      <c r="EN30" s="514"/>
      <c r="EO30" s="514"/>
      <c r="EP30" s="514"/>
      <c r="EQ30" s="514"/>
      <c r="ER30" s="514"/>
      <c r="ES30" s="514"/>
      <c r="ET30" s="514"/>
      <c r="EU30" s="514"/>
      <c r="EV30" s="514"/>
      <c r="EW30" s="514"/>
      <c r="EX30" s="514"/>
      <c r="EY30" s="512"/>
      <c r="EZ30" s="513"/>
      <c r="FA30" s="514"/>
      <c r="FB30" s="514"/>
      <c r="FC30" s="514"/>
      <c r="FD30" s="514"/>
      <c r="FE30" s="514"/>
      <c r="FF30" s="514"/>
      <c r="FG30" s="514"/>
      <c r="FH30" s="514"/>
      <c r="FI30" s="514"/>
      <c r="FJ30" s="514"/>
      <c r="FK30" s="514"/>
      <c r="FL30" s="514"/>
      <c r="FM30" s="512"/>
      <c r="FN30" s="513"/>
      <c r="FO30" s="514"/>
      <c r="FP30" s="514"/>
      <c r="FQ30" s="514"/>
      <c r="FR30" s="514"/>
      <c r="FS30" s="514"/>
      <c r="FT30" s="514"/>
      <c r="FU30" s="514"/>
      <c r="FV30" s="514"/>
      <c r="FW30" s="514"/>
      <c r="FX30" s="514"/>
      <c r="FY30" s="514"/>
      <c r="FZ30" s="514"/>
    </row>
    <row r="31" spans="1:182" s="171" customFormat="1" ht="19.350000000000001" customHeight="1" x14ac:dyDescent="0.2">
      <c r="A31" s="512"/>
      <c r="B31" s="513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512"/>
      <c r="P31" s="513"/>
      <c r="Q31" s="195"/>
      <c r="R31" s="195"/>
      <c r="S31" s="195"/>
      <c r="T31" s="195"/>
      <c r="U31" s="195"/>
      <c r="V31" s="195"/>
      <c r="W31" s="195"/>
      <c r="X31" s="195"/>
      <c r="Y31" s="514"/>
      <c r="Z31" s="514"/>
      <c r="AA31" s="514"/>
      <c r="AB31" s="514"/>
      <c r="AC31" s="512"/>
      <c r="AD31" s="513"/>
      <c r="AE31" s="514"/>
      <c r="AF31" s="514"/>
      <c r="AG31" s="514"/>
      <c r="AH31" s="514"/>
      <c r="AI31" s="514"/>
      <c r="AJ31" s="514"/>
      <c r="AK31" s="514"/>
      <c r="AL31" s="514"/>
      <c r="AM31" s="514"/>
      <c r="AN31" s="514"/>
      <c r="AO31" s="514"/>
      <c r="AP31" s="514"/>
      <c r="AQ31" s="512"/>
      <c r="AR31" s="513"/>
      <c r="AS31" s="514"/>
      <c r="AT31" s="514"/>
      <c r="AU31" s="514"/>
      <c r="AV31" s="514"/>
      <c r="AW31" s="514"/>
      <c r="AX31" s="514"/>
      <c r="AY31" s="514"/>
      <c r="AZ31" s="514"/>
      <c r="BA31" s="514"/>
      <c r="BB31" s="514"/>
      <c r="BC31" s="514"/>
      <c r="BD31" s="514"/>
      <c r="BE31" s="512"/>
      <c r="BF31" s="513"/>
      <c r="BG31" s="514"/>
      <c r="BH31" s="514"/>
      <c r="BI31" s="514"/>
      <c r="BJ31" s="514"/>
      <c r="BK31" s="514"/>
      <c r="BL31" s="514"/>
      <c r="BM31" s="514"/>
      <c r="BN31" s="514"/>
      <c r="BO31" s="514"/>
      <c r="BP31" s="514"/>
      <c r="BQ31" s="514"/>
      <c r="BR31" s="514"/>
      <c r="BS31" s="512"/>
      <c r="BT31" s="513"/>
      <c r="BU31" s="514"/>
      <c r="BV31" s="514"/>
      <c r="BW31" s="514"/>
      <c r="BX31" s="514"/>
      <c r="BY31" s="514"/>
      <c r="BZ31" s="514"/>
      <c r="CA31" s="514"/>
      <c r="CB31" s="514"/>
      <c r="CC31" s="514"/>
      <c r="CD31" s="514"/>
      <c r="CE31" s="514"/>
      <c r="CF31" s="514"/>
      <c r="CG31" s="512"/>
      <c r="CH31" s="513"/>
      <c r="CI31" s="514"/>
      <c r="CJ31" s="514"/>
      <c r="CK31" s="514"/>
      <c r="CL31" s="514"/>
      <c r="CM31" s="514"/>
      <c r="CN31" s="514"/>
      <c r="CO31" s="514"/>
      <c r="CP31" s="514"/>
      <c r="CQ31" s="514"/>
      <c r="CR31" s="514"/>
      <c r="CS31" s="514"/>
      <c r="CT31" s="514"/>
      <c r="CU31" s="512"/>
      <c r="CV31" s="513"/>
      <c r="CW31" s="514"/>
      <c r="CX31" s="514"/>
      <c r="CY31" s="514"/>
      <c r="CZ31" s="514"/>
      <c r="DA31" s="514"/>
      <c r="DB31" s="514"/>
      <c r="DC31" s="514"/>
      <c r="DD31" s="514"/>
      <c r="DE31" s="514"/>
      <c r="DF31" s="514"/>
      <c r="DG31" s="514"/>
      <c r="DH31" s="514"/>
      <c r="DI31" s="512"/>
      <c r="DJ31" s="513"/>
      <c r="DK31" s="514"/>
      <c r="DL31" s="514"/>
      <c r="DM31" s="514"/>
      <c r="DN31" s="514"/>
      <c r="DO31" s="514"/>
      <c r="DP31" s="514"/>
      <c r="DQ31" s="514"/>
      <c r="DR31" s="514"/>
      <c r="DS31" s="514"/>
      <c r="DT31" s="514"/>
      <c r="DU31" s="514"/>
      <c r="DV31" s="514"/>
      <c r="DW31" s="512"/>
      <c r="DX31" s="513"/>
      <c r="DY31" s="514"/>
      <c r="DZ31" s="514"/>
      <c r="EA31" s="514"/>
      <c r="EB31" s="514"/>
      <c r="EC31" s="514"/>
      <c r="ED31" s="514"/>
      <c r="EE31" s="514"/>
      <c r="EF31" s="514"/>
      <c r="EG31" s="514"/>
      <c r="EH31" s="514"/>
      <c r="EI31" s="514"/>
      <c r="EJ31" s="514"/>
      <c r="EK31" s="512"/>
      <c r="EL31" s="513"/>
      <c r="EM31" s="514"/>
      <c r="EN31" s="514"/>
      <c r="EO31" s="514"/>
      <c r="EP31" s="514"/>
      <c r="EQ31" s="514"/>
      <c r="ER31" s="514"/>
      <c r="ES31" s="514"/>
      <c r="ET31" s="514"/>
      <c r="EU31" s="514"/>
      <c r="EV31" s="514"/>
      <c r="EW31" s="514"/>
      <c r="EX31" s="514"/>
      <c r="EY31" s="512"/>
      <c r="EZ31" s="513"/>
      <c r="FA31" s="514"/>
      <c r="FB31" s="514"/>
      <c r="FC31" s="514"/>
      <c r="FD31" s="514"/>
      <c r="FE31" s="514"/>
      <c r="FF31" s="514"/>
      <c r="FG31" s="514"/>
      <c r="FH31" s="514"/>
      <c r="FI31" s="514"/>
      <c r="FJ31" s="514"/>
      <c r="FK31" s="514"/>
      <c r="FL31" s="514"/>
      <c r="FM31" s="512"/>
      <c r="FN31" s="513"/>
      <c r="FO31" s="514"/>
      <c r="FP31" s="514"/>
      <c r="FQ31" s="514"/>
      <c r="FR31" s="514"/>
      <c r="FS31" s="514"/>
      <c r="FT31" s="514"/>
      <c r="FU31" s="514"/>
      <c r="FV31" s="514"/>
      <c r="FW31" s="514"/>
      <c r="FX31" s="514"/>
      <c r="FY31" s="514"/>
      <c r="FZ31" s="514"/>
    </row>
    <row r="32" spans="1:182" s="171" customFormat="1" ht="19.350000000000001" customHeight="1" x14ac:dyDescent="0.2">
      <c r="A32" s="512"/>
      <c r="B32" s="513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512"/>
      <c r="P32" s="513"/>
      <c r="Q32" s="195"/>
      <c r="R32" s="195"/>
      <c r="S32" s="195"/>
      <c r="T32" s="195"/>
      <c r="U32" s="195"/>
      <c r="V32" s="195"/>
      <c r="W32" s="195"/>
      <c r="X32" s="195"/>
      <c r="Y32" s="514"/>
      <c r="Z32" s="514"/>
      <c r="AA32" s="514"/>
      <c r="AB32" s="514"/>
      <c r="AC32" s="512"/>
      <c r="AD32" s="513"/>
      <c r="AE32" s="514"/>
      <c r="AF32" s="514"/>
      <c r="AG32" s="514"/>
      <c r="AH32" s="514"/>
      <c r="AI32" s="514"/>
      <c r="AJ32" s="514"/>
      <c r="AK32" s="514"/>
      <c r="AL32" s="514"/>
      <c r="AM32" s="514"/>
      <c r="AN32" s="514"/>
      <c r="AO32" s="514"/>
      <c r="AP32" s="514"/>
      <c r="AQ32" s="512"/>
      <c r="AR32" s="513"/>
      <c r="AS32" s="514"/>
      <c r="AT32" s="514"/>
      <c r="AU32" s="514"/>
      <c r="AV32" s="514"/>
      <c r="AW32" s="514"/>
      <c r="AX32" s="514"/>
      <c r="AY32" s="514"/>
      <c r="AZ32" s="514"/>
      <c r="BA32" s="514"/>
      <c r="BB32" s="514"/>
      <c r="BC32" s="514"/>
      <c r="BD32" s="514"/>
      <c r="BE32" s="512"/>
      <c r="BF32" s="513"/>
      <c r="BG32" s="514"/>
      <c r="BH32" s="514"/>
      <c r="BI32" s="514"/>
      <c r="BJ32" s="514"/>
      <c r="BK32" s="514"/>
      <c r="BL32" s="514"/>
      <c r="BM32" s="514"/>
      <c r="BN32" s="514"/>
      <c r="BO32" s="514"/>
      <c r="BP32" s="514"/>
      <c r="BQ32" s="514"/>
      <c r="BR32" s="514"/>
      <c r="BS32" s="512"/>
      <c r="BT32" s="513"/>
      <c r="BU32" s="514"/>
      <c r="BV32" s="514"/>
      <c r="BW32" s="514"/>
      <c r="BX32" s="514"/>
      <c r="BY32" s="514"/>
      <c r="BZ32" s="514"/>
      <c r="CA32" s="514"/>
      <c r="CB32" s="514"/>
      <c r="CC32" s="514"/>
      <c r="CD32" s="514"/>
      <c r="CE32" s="514"/>
      <c r="CF32" s="514"/>
      <c r="CG32" s="512"/>
      <c r="CH32" s="513"/>
      <c r="CI32" s="514"/>
      <c r="CJ32" s="514"/>
      <c r="CK32" s="514"/>
      <c r="CL32" s="514"/>
      <c r="CM32" s="514"/>
      <c r="CN32" s="514"/>
      <c r="CO32" s="514"/>
      <c r="CP32" s="514"/>
      <c r="CQ32" s="514"/>
      <c r="CR32" s="514"/>
      <c r="CS32" s="514"/>
      <c r="CT32" s="514"/>
      <c r="CU32" s="512"/>
      <c r="CV32" s="513"/>
      <c r="CW32" s="514"/>
      <c r="CX32" s="514"/>
      <c r="CY32" s="514"/>
      <c r="CZ32" s="514"/>
      <c r="DA32" s="514"/>
      <c r="DB32" s="514"/>
      <c r="DC32" s="514"/>
      <c r="DD32" s="514"/>
      <c r="DE32" s="514"/>
      <c r="DF32" s="514"/>
      <c r="DG32" s="514"/>
      <c r="DH32" s="514"/>
      <c r="DI32" s="512"/>
      <c r="DJ32" s="513"/>
      <c r="DK32" s="514"/>
      <c r="DL32" s="514"/>
      <c r="DM32" s="514"/>
      <c r="DN32" s="514"/>
      <c r="DO32" s="514"/>
      <c r="DP32" s="514"/>
      <c r="DQ32" s="514"/>
      <c r="DR32" s="514"/>
      <c r="DS32" s="514"/>
      <c r="DT32" s="514"/>
      <c r="DU32" s="514"/>
      <c r="DV32" s="514"/>
      <c r="DW32" s="512"/>
      <c r="DX32" s="513"/>
      <c r="DY32" s="514"/>
      <c r="DZ32" s="514"/>
      <c r="EA32" s="514"/>
      <c r="EB32" s="514"/>
      <c r="EC32" s="514"/>
      <c r="ED32" s="514"/>
      <c r="EE32" s="514"/>
      <c r="EF32" s="514"/>
      <c r="EG32" s="514"/>
      <c r="EH32" s="514"/>
      <c r="EI32" s="514"/>
      <c r="EJ32" s="514"/>
      <c r="EK32" s="512"/>
      <c r="EL32" s="513"/>
      <c r="EM32" s="514"/>
      <c r="EN32" s="514"/>
      <c r="EO32" s="514"/>
      <c r="EP32" s="514"/>
      <c r="EQ32" s="514"/>
      <c r="ER32" s="514"/>
      <c r="ES32" s="514"/>
      <c r="ET32" s="514"/>
      <c r="EU32" s="514"/>
      <c r="EV32" s="514"/>
      <c r="EW32" s="514"/>
      <c r="EX32" s="514"/>
      <c r="EY32" s="512"/>
      <c r="EZ32" s="513"/>
      <c r="FA32" s="514"/>
      <c r="FB32" s="514"/>
      <c r="FC32" s="514"/>
      <c r="FD32" s="514"/>
      <c r="FE32" s="514"/>
      <c r="FF32" s="514"/>
      <c r="FG32" s="514"/>
      <c r="FH32" s="514"/>
      <c r="FI32" s="514"/>
      <c r="FJ32" s="514"/>
      <c r="FK32" s="514"/>
      <c r="FL32" s="514"/>
      <c r="FM32" s="512"/>
      <c r="FN32" s="513"/>
      <c r="FO32" s="514"/>
      <c r="FP32" s="514"/>
      <c r="FQ32" s="514"/>
      <c r="FR32" s="514"/>
      <c r="FS32" s="514"/>
      <c r="FT32" s="514"/>
      <c r="FU32" s="514"/>
      <c r="FV32" s="514"/>
      <c r="FW32" s="514"/>
      <c r="FX32" s="514"/>
      <c r="FY32" s="514"/>
      <c r="FZ32" s="514"/>
    </row>
    <row r="33" spans="1:182" ht="18" x14ac:dyDescent="0.25">
      <c r="A33" s="476"/>
      <c r="B33" s="476"/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76"/>
      <c r="AO33" s="476"/>
      <c r="AP33" s="476"/>
      <c r="AQ33" s="476"/>
      <c r="AR33" s="476"/>
      <c r="AS33" s="476"/>
      <c r="AT33" s="476"/>
      <c r="AU33" s="476"/>
      <c r="AV33" s="476"/>
      <c r="AW33" s="476"/>
      <c r="AX33" s="476"/>
      <c r="AY33" s="476"/>
      <c r="AZ33" s="476"/>
      <c r="BA33" s="476"/>
      <c r="BB33" s="476"/>
      <c r="BC33" s="476"/>
      <c r="BD33" s="476"/>
      <c r="BE33" s="476"/>
      <c r="BF33" s="476"/>
      <c r="BG33" s="476"/>
      <c r="BH33" s="476"/>
      <c r="BI33" s="476"/>
      <c r="BJ33" s="476"/>
      <c r="BK33" s="476"/>
      <c r="BL33" s="476"/>
      <c r="BM33" s="476"/>
      <c r="BN33" s="476"/>
      <c r="BO33" s="476"/>
      <c r="BP33" s="476"/>
      <c r="BQ33" s="476"/>
      <c r="BR33" s="476"/>
      <c r="BS33" s="476"/>
      <c r="BT33" s="476"/>
      <c r="BU33" s="476"/>
      <c r="BV33" s="476"/>
      <c r="BW33" s="476"/>
      <c r="BX33" s="476"/>
      <c r="BY33" s="476"/>
      <c r="BZ33" s="476"/>
      <c r="CA33" s="476"/>
      <c r="CB33" s="476"/>
      <c r="CC33" s="476"/>
      <c r="CD33" s="476"/>
      <c r="CE33" s="476"/>
      <c r="CF33" s="476"/>
      <c r="CG33" s="476"/>
      <c r="CH33" s="476"/>
      <c r="CI33" s="476"/>
      <c r="CJ33" s="476"/>
      <c r="CK33" s="476"/>
      <c r="CL33" s="476"/>
      <c r="CM33" s="476"/>
      <c r="CN33" s="476"/>
      <c r="CO33" s="476"/>
      <c r="CP33" s="476"/>
      <c r="CQ33" s="476"/>
      <c r="CR33" s="476"/>
      <c r="CS33" s="476"/>
      <c r="CT33" s="476"/>
      <c r="CU33" s="476"/>
      <c r="CV33" s="476"/>
      <c r="CW33" s="476"/>
      <c r="CX33" s="476"/>
      <c r="CY33" s="476"/>
      <c r="CZ33" s="476"/>
      <c r="DA33" s="476"/>
      <c r="DB33" s="476"/>
      <c r="DC33" s="476"/>
      <c r="DD33" s="476"/>
      <c r="DE33" s="476"/>
      <c r="DF33" s="476"/>
      <c r="DG33" s="476"/>
      <c r="DH33" s="476"/>
      <c r="DI33" s="476"/>
      <c r="DJ33" s="476"/>
      <c r="DK33" s="476"/>
      <c r="DL33" s="476"/>
      <c r="DM33" s="476"/>
      <c r="DN33" s="476"/>
      <c r="DO33" s="476"/>
      <c r="DP33" s="476"/>
      <c r="DQ33" s="476"/>
      <c r="DR33" s="476"/>
      <c r="DS33" s="476"/>
      <c r="DT33" s="476"/>
      <c r="DU33" s="476"/>
      <c r="DV33" s="476"/>
      <c r="DW33" s="476"/>
      <c r="DX33" s="476"/>
      <c r="DY33" s="476"/>
      <c r="DZ33" s="476"/>
      <c r="EA33" s="476"/>
      <c r="EB33" s="476"/>
      <c r="EC33" s="476"/>
      <c r="ED33" s="476"/>
      <c r="EE33" s="476"/>
      <c r="EF33" s="476"/>
      <c r="EG33" s="476"/>
      <c r="EH33" s="476"/>
      <c r="EI33" s="476"/>
      <c r="EJ33" s="476"/>
      <c r="EK33" s="476"/>
      <c r="EL33" s="476"/>
      <c r="EM33" s="476"/>
      <c r="EN33" s="476"/>
      <c r="EO33" s="476"/>
      <c r="EP33" s="476"/>
      <c r="EQ33" s="476"/>
      <c r="ER33" s="476"/>
      <c r="ES33" s="476"/>
      <c r="ET33" s="476"/>
      <c r="EU33" s="476"/>
      <c r="EV33" s="476"/>
      <c r="EW33" s="476"/>
      <c r="EX33" s="476"/>
      <c r="EY33" s="476"/>
      <c r="EZ33" s="476"/>
      <c r="FA33" s="476"/>
      <c r="FB33" s="476"/>
      <c r="FC33" s="476"/>
      <c r="FD33" s="476"/>
      <c r="FE33" s="476"/>
      <c r="FF33" s="476"/>
      <c r="FG33" s="476"/>
      <c r="FH33" s="476"/>
      <c r="FI33" s="476"/>
      <c r="FJ33" s="476"/>
      <c r="FK33" s="476"/>
      <c r="FL33" s="476"/>
      <c r="FM33" s="476"/>
      <c r="FN33" s="476"/>
      <c r="FO33" s="476"/>
      <c r="FP33" s="476"/>
      <c r="FQ33" s="476"/>
      <c r="FR33" s="476"/>
      <c r="FS33" s="476"/>
      <c r="FT33" s="476"/>
      <c r="FU33" s="476"/>
      <c r="FV33" s="476"/>
      <c r="FW33" s="476"/>
      <c r="FX33" s="476"/>
      <c r="FY33" s="476"/>
      <c r="FZ33" s="476"/>
    </row>
    <row r="34" spans="1:182" ht="15.75" x14ac:dyDescent="0.25">
      <c r="A34" s="477"/>
      <c r="B34" s="477"/>
      <c r="C34" s="477"/>
      <c r="D34" s="477"/>
      <c r="E34" s="477"/>
      <c r="F34" s="477"/>
      <c r="G34" s="477"/>
      <c r="H34" s="477"/>
      <c r="I34" s="477"/>
      <c r="J34" s="477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7"/>
      <c r="AD34" s="477"/>
      <c r="AE34" s="477"/>
      <c r="AF34" s="477"/>
      <c r="AG34" s="477"/>
      <c r="AH34" s="477"/>
      <c r="AI34" s="477"/>
      <c r="AJ34" s="477"/>
      <c r="AK34" s="477"/>
      <c r="AL34" s="477"/>
      <c r="AM34" s="477"/>
      <c r="AN34" s="477"/>
      <c r="AO34" s="477"/>
      <c r="AP34" s="477"/>
      <c r="AQ34" s="477"/>
      <c r="AR34" s="477"/>
      <c r="AS34" s="477"/>
      <c r="AT34" s="477"/>
      <c r="AU34" s="477"/>
      <c r="AV34" s="477"/>
      <c r="AW34" s="477"/>
      <c r="AX34" s="477"/>
      <c r="AY34" s="477"/>
      <c r="AZ34" s="477"/>
      <c r="BA34" s="477"/>
      <c r="BB34" s="477"/>
      <c r="BC34" s="477"/>
      <c r="BD34" s="477"/>
      <c r="BE34" s="477"/>
      <c r="BF34" s="477"/>
      <c r="BG34" s="477"/>
      <c r="BH34" s="477"/>
      <c r="BI34" s="477"/>
      <c r="BJ34" s="477"/>
      <c r="BK34" s="477"/>
      <c r="BL34" s="477"/>
      <c r="BM34" s="477"/>
      <c r="BN34" s="477"/>
      <c r="BO34" s="477"/>
      <c r="BP34" s="477"/>
      <c r="BQ34" s="477"/>
      <c r="BR34" s="477"/>
      <c r="BS34" s="477"/>
      <c r="BT34" s="477"/>
      <c r="BU34" s="477"/>
      <c r="BV34" s="477"/>
      <c r="BW34" s="477"/>
      <c r="BX34" s="477"/>
      <c r="BY34" s="477"/>
      <c r="BZ34" s="477"/>
      <c r="CA34" s="477"/>
      <c r="CB34" s="477"/>
      <c r="CC34" s="477"/>
      <c r="CD34" s="477"/>
      <c r="CE34" s="477"/>
      <c r="CF34" s="477"/>
      <c r="CG34" s="477"/>
      <c r="CH34" s="477"/>
      <c r="CI34" s="477"/>
      <c r="CJ34" s="477"/>
      <c r="CK34" s="477"/>
      <c r="CL34" s="477"/>
      <c r="CM34" s="477"/>
      <c r="CN34" s="477"/>
      <c r="CO34" s="477"/>
      <c r="CP34" s="477"/>
      <c r="CQ34" s="477"/>
      <c r="CR34" s="477"/>
      <c r="CS34" s="477"/>
      <c r="CT34" s="477"/>
      <c r="CU34" s="477"/>
      <c r="CV34" s="477"/>
      <c r="CW34" s="477"/>
      <c r="CX34" s="477"/>
      <c r="CY34" s="477"/>
      <c r="CZ34" s="477"/>
      <c r="DA34" s="477"/>
      <c r="DB34" s="477"/>
      <c r="DC34" s="477"/>
      <c r="DD34" s="477"/>
      <c r="DE34" s="477"/>
      <c r="DF34" s="477"/>
      <c r="DG34" s="477"/>
      <c r="DH34" s="477"/>
      <c r="DI34" s="477"/>
      <c r="DJ34" s="477"/>
      <c r="DK34" s="477"/>
      <c r="DL34" s="477"/>
      <c r="DM34" s="477"/>
      <c r="DN34" s="477"/>
      <c r="DO34" s="477"/>
      <c r="DP34" s="477"/>
      <c r="DQ34" s="477"/>
      <c r="DR34" s="477"/>
      <c r="DS34" s="477"/>
      <c r="DT34" s="477"/>
      <c r="DU34" s="477"/>
      <c r="DV34" s="477"/>
      <c r="DW34" s="477"/>
      <c r="DX34" s="477"/>
      <c r="DY34" s="477"/>
      <c r="DZ34" s="477"/>
      <c r="EA34" s="477"/>
      <c r="EB34" s="477"/>
      <c r="EC34" s="477"/>
      <c r="ED34" s="477"/>
      <c r="EE34" s="477"/>
      <c r="EF34" s="477"/>
      <c r="EG34" s="477"/>
      <c r="EH34" s="477"/>
      <c r="EI34" s="477"/>
      <c r="EJ34" s="477"/>
      <c r="EK34" s="477"/>
      <c r="EL34" s="477"/>
      <c r="EM34" s="477"/>
      <c r="EN34" s="477"/>
      <c r="EO34" s="477"/>
      <c r="EP34" s="477"/>
      <c r="EQ34" s="477"/>
      <c r="ER34" s="477"/>
      <c r="ES34" s="477"/>
      <c r="ET34" s="477"/>
      <c r="EU34" s="477"/>
      <c r="EV34" s="477"/>
      <c r="EW34" s="477"/>
      <c r="EX34" s="477"/>
      <c r="EY34" s="477"/>
      <c r="EZ34" s="477"/>
      <c r="FA34" s="477"/>
      <c r="FB34" s="477"/>
      <c r="FC34" s="477"/>
      <c r="FD34" s="477"/>
      <c r="FE34" s="477"/>
      <c r="FF34" s="477"/>
      <c r="FG34" s="477"/>
      <c r="FH34" s="477"/>
      <c r="FI34" s="477"/>
      <c r="FJ34" s="477"/>
      <c r="FK34" s="477"/>
      <c r="FL34" s="477"/>
      <c r="FM34" s="477"/>
      <c r="FN34" s="477"/>
      <c r="FO34" s="477"/>
      <c r="FP34" s="477"/>
      <c r="FQ34" s="477"/>
      <c r="FR34" s="477"/>
      <c r="FS34" s="477"/>
      <c r="FT34" s="477"/>
      <c r="FU34" s="477"/>
      <c r="FV34" s="477"/>
      <c r="FW34" s="477"/>
      <c r="FX34" s="477"/>
      <c r="FY34" s="477"/>
      <c r="FZ34" s="477"/>
    </row>
    <row r="35" spans="1:182" ht="15.75" x14ac:dyDescent="0.25">
      <c r="A35" s="477"/>
      <c r="B35" s="477"/>
      <c r="C35" s="477"/>
      <c r="D35" s="477"/>
      <c r="E35" s="477"/>
      <c r="F35" s="477"/>
      <c r="G35" s="477"/>
      <c r="H35" s="477"/>
      <c r="I35" s="477"/>
      <c r="J35" s="477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7"/>
      <c r="AD35" s="477"/>
      <c r="AE35" s="477"/>
      <c r="AF35" s="477"/>
      <c r="AG35" s="477"/>
      <c r="AH35" s="477"/>
      <c r="AI35" s="477"/>
      <c r="AJ35" s="477"/>
      <c r="AK35" s="477"/>
      <c r="AL35" s="477"/>
      <c r="AM35" s="477"/>
      <c r="AN35" s="477"/>
      <c r="AO35" s="477"/>
      <c r="AP35" s="477"/>
      <c r="AQ35" s="477"/>
      <c r="AR35" s="477"/>
      <c r="AS35" s="477"/>
      <c r="AT35" s="477"/>
      <c r="AU35" s="477"/>
      <c r="AV35" s="477"/>
      <c r="AW35" s="477"/>
      <c r="AX35" s="477"/>
      <c r="AY35" s="477"/>
      <c r="AZ35" s="477"/>
      <c r="BA35" s="477"/>
      <c r="BB35" s="477"/>
      <c r="BC35" s="477"/>
      <c r="BD35" s="477"/>
      <c r="BE35" s="477"/>
      <c r="BF35" s="477"/>
      <c r="BG35" s="477"/>
      <c r="BH35" s="477"/>
      <c r="BI35" s="477"/>
      <c r="BJ35" s="477"/>
      <c r="BK35" s="477"/>
      <c r="BL35" s="477"/>
      <c r="BM35" s="477"/>
      <c r="BN35" s="477"/>
      <c r="BO35" s="477"/>
      <c r="BP35" s="477"/>
      <c r="BQ35" s="477"/>
      <c r="BR35" s="477"/>
      <c r="BS35" s="477"/>
      <c r="BT35" s="477"/>
      <c r="BU35" s="477"/>
      <c r="BV35" s="477"/>
      <c r="BW35" s="477"/>
      <c r="BX35" s="477"/>
      <c r="BY35" s="477"/>
      <c r="BZ35" s="477"/>
      <c r="CA35" s="477"/>
      <c r="CB35" s="477"/>
      <c r="CC35" s="477"/>
      <c r="CD35" s="477"/>
      <c r="CE35" s="477"/>
      <c r="CF35" s="477"/>
      <c r="CG35" s="477"/>
      <c r="CH35" s="477"/>
      <c r="CI35" s="477"/>
      <c r="CJ35" s="477"/>
      <c r="CK35" s="477"/>
      <c r="CL35" s="477"/>
      <c r="CM35" s="477"/>
      <c r="CN35" s="477"/>
      <c r="CO35" s="477"/>
      <c r="CP35" s="477"/>
      <c r="CQ35" s="477"/>
      <c r="CR35" s="477"/>
      <c r="CS35" s="477"/>
      <c r="CT35" s="477"/>
      <c r="CU35" s="477"/>
      <c r="CV35" s="477"/>
      <c r="CW35" s="477"/>
      <c r="CX35" s="477"/>
      <c r="CY35" s="477"/>
      <c r="CZ35" s="477"/>
      <c r="DA35" s="477"/>
      <c r="DB35" s="477"/>
      <c r="DC35" s="477"/>
      <c r="DD35" s="477"/>
      <c r="DE35" s="477"/>
      <c r="DF35" s="477"/>
      <c r="DG35" s="477"/>
      <c r="DH35" s="477"/>
      <c r="DI35" s="477"/>
      <c r="DJ35" s="477"/>
      <c r="DK35" s="477"/>
      <c r="DL35" s="477"/>
      <c r="DM35" s="477"/>
      <c r="DN35" s="477"/>
      <c r="DO35" s="477"/>
      <c r="DP35" s="477"/>
      <c r="DQ35" s="477"/>
      <c r="DR35" s="477"/>
      <c r="DS35" s="477"/>
      <c r="DT35" s="477"/>
      <c r="DU35" s="477"/>
      <c r="DV35" s="477"/>
      <c r="DW35" s="477"/>
      <c r="DX35" s="477"/>
      <c r="DY35" s="477"/>
      <c r="DZ35" s="477"/>
      <c r="EA35" s="477"/>
      <c r="EB35" s="477"/>
      <c r="EC35" s="477"/>
      <c r="ED35" s="477"/>
      <c r="EE35" s="477"/>
      <c r="EF35" s="477"/>
      <c r="EG35" s="477"/>
      <c r="EH35" s="477"/>
      <c r="EI35" s="477"/>
      <c r="EJ35" s="477"/>
      <c r="EK35" s="477"/>
      <c r="EL35" s="477"/>
      <c r="EM35" s="477"/>
      <c r="EN35" s="477"/>
      <c r="EO35" s="477"/>
      <c r="EP35" s="477"/>
      <c r="EQ35" s="477"/>
      <c r="ER35" s="477"/>
      <c r="ES35" s="477"/>
      <c r="ET35" s="477"/>
      <c r="EU35" s="477"/>
      <c r="EV35" s="477"/>
      <c r="EW35" s="477"/>
      <c r="EX35" s="477"/>
      <c r="EY35" s="477"/>
      <c r="EZ35" s="477"/>
      <c r="FA35" s="477"/>
      <c r="FB35" s="477"/>
      <c r="FC35" s="477"/>
      <c r="FD35" s="477"/>
      <c r="FE35" s="477"/>
      <c r="FF35" s="477"/>
      <c r="FG35" s="477"/>
      <c r="FH35" s="477"/>
      <c r="FI35" s="477"/>
      <c r="FJ35" s="477"/>
      <c r="FK35" s="477"/>
      <c r="FL35" s="477"/>
      <c r="FM35" s="477"/>
      <c r="FN35" s="477"/>
      <c r="FO35" s="477"/>
      <c r="FP35" s="477"/>
      <c r="FQ35" s="477"/>
      <c r="FR35" s="477"/>
      <c r="FS35" s="477"/>
      <c r="FT35" s="477"/>
      <c r="FU35" s="477"/>
      <c r="FV35" s="477"/>
      <c r="FW35" s="477"/>
      <c r="FX35" s="477"/>
      <c r="FY35" s="477"/>
      <c r="FZ35" s="477"/>
    </row>
    <row r="36" spans="1:182" ht="15.75" x14ac:dyDescent="0.25">
      <c r="A36" s="477"/>
      <c r="B36" s="477"/>
      <c r="C36" s="477"/>
      <c r="D36" s="477"/>
      <c r="E36" s="477"/>
      <c r="F36" s="477"/>
      <c r="G36" s="477"/>
      <c r="H36" s="477"/>
      <c r="I36" s="477"/>
      <c r="J36" s="477"/>
      <c r="K36" s="477"/>
      <c r="L36" s="477"/>
      <c r="M36" s="477" t="s">
        <v>161</v>
      </c>
      <c r="N36" s="477"/>
      <c r="O36" s="477"/>
      <c r="P36" s="477"/>
      <c r="Q36" s="477"/>
      <c r="R36" s="477"/>
      <c r="S36" s="477" t="s">
        <v>161</v>
      </c>
      <c r="T36" s="477"/>
      <c r="U36" s="477"/>
      <c r="V36" s="477"/>
      <c r="W36" s="477" t="s">
        <v>161</v>
      </c>
      <c r="X36" s="477"/>
      <c r="Y36" s="477"/>
      <c r="Z36" s="477"/>
      <c r="AA36" s="477"/>
      <c r="AB36" s="477"/>
      <c r="AC36" s="477"/>
      <c r="AD36" s="477"/>
      <c r="AE36" s="477"/>
      <c r="AF36" s="477"/>
      <c r="AG36" s="477"/>
      <c r="AH36" s="477"/>
      <c r="AI36" s="477"/>
      <c r="AJ36" s="477"/>
      <c r="AK36" s="477"/>
      <c r="AL36" s="477"/>
      <c r="AM36" s="477"/>
      <c r="AN36" s="477"/>
      <c r="AO36" s="477"/>
      <c r="AP36" s="477"/>
      <c r="AQ36" s="477"/>
      <c r="AR36" s="477"/>
      <c r="AS36" s="477"/>
      <c r="AT36" s="477"/>
      <c r="AU36" s="477"/>
      <c r="AV36" s="477"/>
      <c r="AW36" s="477"/>
      <c r="AX36" s="477"/>
      <c r="AY36" s="477"/>
      <c r="AZ36" s="477"/>
      <c r="BA36" s="477"/>
      <c r="BB36" s="477"/>
      <c r="BC36" s="477"/>
      <c r="BD36" s="477"/>
      <c r="BE36" s="477"/>
      <c r="BF36" s="477"/>
      <c r="BG36" s="477"/>
      <c r="BH36" s="477"/>
      <c r="BI36" s="477"/>
      <c r="BJ36" s="477"/>
      <c r="BK36" s="477"/>
      <c r="BL36" s="477"/>
      <c r="BM36" s="477"/>
      <c r="BN36" s="477"/>
      <c r="BO36" s="477"/>
      <c r="BP36" s="477"/>
      <c r="BQ36" s="477"/>
      <c r="BR36" s="477"/>
      <c r="BS36" s="477"/>
      <c r="BT36" s="477"/>
      <c r="BU36" s="477"/>
      <c r="BV36" s="477"/>
      <c r="BW36" s="477"/>
      <c r="BX36" s="477"/>
      <c r="BY36" s="477"/>
      <c r="BZ36" s="477"/>
      <c r="CA36" s="477"/>
      <c r="CB36" s="477"/>
      <c r="CC36" s="477"/>
      <c r="CD36" s="477"/>
      <c r="CE36" s="477"/>
      <c r="CF36" s="477"/>
      <c r="CG36" s="477"/>
      <c r="CH36" s="477"/>
      <c r="CI36" s="477"/>
      <c r="CJ36" s="477"/>
      <c r="CK36" s="477"/>
      <c r="CL36" s="477"/>
      <c r="CM36" s="477"/>
      <c r="CN36" s="477"/>
      <c r="CO36" s="477"/>
      <c r="CP36" s="477"/>
      <c r="CQ36" s="477"/>
      <c r="CR36" s="477"/>
      <c r="CS36" s="477"/>
      <c r="CT36" s="477"/>
      <c r="CU36" s="477"/>
      <c r="CV36" s="477"/>
      <c r="CW36" s="477"/>
      <c r="CX36" s="477"/>
      <c r="CY36" s="477"/>
      <c r="CZ36" s="477"/>
      <c r="DA36" s="477"/>
      <c r="DB36" s="477"/>
      <c r="DC36" s="477"/>
      <c r="DD36" s="477"/>
      <c r="DE36" s="477"/>
      <c r="DF36" s="477"/>
      <c r="DG36" s="477"/>
      <c r="DH36" s="477"/>
      <c r="DI36" s="477"/>
      <c r="DJ36" s="477"/>
      <c r="DK36" s="477"/>
      <c r="DL36" s="477"/>
      <c r="DM36" s="477"/>
      <c r="DN36" s="477"/>
      <c r="DO36" s="477"/>
      <c r="DP36" s="477"/>
      <c r="DQ36" s="477"/>
      <c r="DR36" s="477"/>
      <c r="DS36" s="477"/>
      <c r="DT36" s="477"/>
      <c r="DU36" s="477"/>
      <c r="DV36" s="477"/>
      <c r="DW36" s="477"/>
      <c r="DX36" s="477"/>
      <c r="DY36" s="477"/>
      <c r="DZ36" s="477"/>
      <c r="EA36" s="477"/>
      <c r="EB36" s="477"/>
      <c r="EC36" s="477"/>
      <c r="ED36" s="477"/>
      <c r="EE36" s="477"/>
      <c r="EF36" s="477"/>
      <c r="EG36" s="477"/>
      <c r="EH36" s="477"/>
      <c r="EI36" s="477"/>
      <c r="EJ36" s="477"/>
      <c r="EK36" s="477"/>
      <c r="EL36" s="477"/>
      <c r="EM36" s="477"/>
      <c r="EN36" s="477"/>
      <c r="EO36" s="477"/>
      <c r="EP36" s="477"/>
      <c r="EQ36" s="477"/>
      <c r="ER36" s="477"/>
      <c r="ES36" s="477"/>
      <c r="ET36" s="477"/>
      <c r="EU36" s="477"/>
      <c r="EV36" s="477"/>
      <c r="EW36" s="477"/>
      <c r="EX36" s="477"/>
      <c r="EY36" s="477"/>
      <c r="EZ36" s="477"/>
      <c r="FA36" s="477"/>
      <c r="FB36" s="477"/>
      <c r="FC36" s="477"/>
      <c r="FD36" s="477"/>
      <c r="FE36" s="477"/>
      <c r="FF36" s="477"/>
      <c r="FG36" s="477"/>
      <c r="FH36" s="477"/>
      <c r="FI36" s="477"/>
      <c r="FJ36" s="477"/>
      <c r="FK36" s="477"/>
      <c r="FL36" s="477"/>
      <c r="FM36" s="477"/>
      <c r="FN36" s="477"/>
      <c r="FO36" s="477"/>
      <c r="FP36" s="477"/>
      <c r="FQ36" s="477"/>
      <c r="FR36" s="477"/>
      <c r="FS36" s="477"/>
      <c r="FT36" s="477"/>
      <c r="FU36" s="477"/>
      <c r="FV36" s="477"/>
      <c r="FW36" s="477"/>
      <c r="FX36" s="477"/>
      <c r="FY36" s="477"/>
      <c r="FZ36" s="477"/>
    </row>
    <row r="37" spans="1:182" ht="15.75" x14ac:dyDescent="0.25">
      <c r="A37" s="477"/>
      <c r="B37" s="477"/>
      <c r="C37" s="477"/>
      <c r="D37" s="477"/>
      <c r="E37" s="477"/>
      <c r="F37" s="477"/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477"/>
      <c r="S37" s="477"/>
      <c r="T37" s="477"/>
      <c r="U37" s="477"/>
      <c r="V37" s="477"/>
      <c r="W37" s="477"/>
      <c r="X37" s="477"/>
      <c r="Y37" s="477"/>
      <c r="Z37" s="477"/>
      <c r="AA37" s="477"/>
      <c r="AB37" s="477"/>
      <c r="AC37" s="477"/>
      <c r="AD37" s="477"/>
      <c r="AE37" s="477"/>
      <c r="AF37" s="477"/>
      <c r="AG37" s="477"/>
      <c r="AH37" s="477"/>
      <c r="AI37" s="477"/>
      <c r="AJ37" s="477"/>
      <c r="AK37" s="477"/>
      <c r="AL37" s="477"/>
      <c r="AM37" s="477"/>
      <c r="AN37" s="477"/>
      <c r="AO37" s="477"/>
      <c r="AP37" s="477"/>
      <c r="AQ37" s="477"/>
      <c r="AR37" s="477"/>
      <c r="AS37" s="477"/>
      <c r="AT37" s="477"/>
      <c r="AU37" s="477"/>
      <c r="AV37" s="477"/>
      <c r="AW37" s="477"/>
      <c r="AX37" s="477"/>
      <c r="AY37" s="477"/>
      <c r="AZ37" s="477"/>
      <c r="BA37" s="477"/>
      <c r="BB37" s="477"/>
      <c r="BC37" s="477"/>
      <c r="BD37" s="477"/>
      <c r="BE37" s="477"/>
      <c r="BF37" s="477"/>
      <c r="BG37" s="477"/>
      <c r="BH37" s="477"/>
      <c r="BI37" s="477"/>
      <c r="BJ37" s="477"/>
      <c r="BK37" s="477"/>
      <c r="BL37" s="477"/>
      <c r="BM37" s="477"/>
      <c r="BN37" s="477"/>
      <c r="BO37" s="477"/>
      <c r="BP37" s="477"/>
      <c r="BQ37" s="477"/>
      <c r="BR37" s="477"/>
      <c r="BS37" s="477"/>
      <c r="BT37" s="477"/>
      <c r="BU37" s="477"/>
      <c r="BV37" s="477"/>
      <c r="BW37" s="477"/>
      <c r="BX37" s="477"/>
      <c r="BY37" s="477"/>
      <c r="BZ37" s="477"/>
      <c r="CA37" s="477"/>
      <c r="CB37" s="477"/>
      <c r="CC37" s="477"/>
      <c r="CD37" s="477"/>
      <c r="CE37" s="477"/>
      <c r="CF37" s="477"/>
      <c r="CG37" s="477"/>
      <c r="CH37" s="477"/>
      <c r="CI37" s="477"/>
      <c r="CJ37" s="477"/>
      <c r="CK37" s="477"/>
      <c r="CL37" s="477"/>
      <c r="CM37" s="477"/>
      <c r="CN37" s="477"/>
      <c r="CO37" s="477"/>
      <c r="CP37" s="477"/>
      <c r="CQ37" s="477"/>
      <c r="CR37" s="477"/>
      <c r="CS37" s="477"/>
      <c r="CT37" s="477"/>
      <c r="CU37" s="477"/>
      <c r="CV37" s="477"/>
      <c r="CW37" s="477"/>
      <c r="CX37" s="477"/>
      <c r="CY37" s="477"/>
      <c r="CZ37" s="477"/>
      <c r="DA37" s="477"/>
      <c r="DB37" s="477"/>
      <c r="DC37" s="477"/>
      <c r="DD37" s="477"/>
      <c r="DE37" s="477"/>
      <c r="DF37" s="477"/>
      <c r="DG37" s="477"/>
      <c r="DH37" s="477"/>
      <c r="DI37" s="477"/>
      <c r="DJ37" s="477"/>
      <c r="DK37" s="477"/>
      <c r="DL37" s="477"/>
      <c r="DM37" s="477"/>
      <c r="DN37" s="477"/>
      <c r="DO37" s="477"/>
      <c r="DP37" s="477"/>
      <c r="DQ37" s="477"/>
      <c r="DR37" s="477"/>
      <c r="DS37" s="477"/>
      <c r="DT37" s="477"/>
      <c r="DU37" s="477"/>
      <c r="DV37" s="477"/>
      <c r="DW37" s="477"/>
      <c r="DX37" s="477"/>
      <c r="DY37" s="477"/>
      <c r="DZ37" s="477"/>
      <c r="EA37" s="477"/>
      <c r="EB37" s="477"/>
      <c r="EC37" s="477"/>
      <c r="ED37" s="477"/>
      <c r="EE37" s="477"/>
      <c r="EF37" s="477"/>
      <c r="EG37" s="477"/>
      <c r="EH37" s="477"/>
      <c r="EI37" s="477"/>
      <c r="EJ37" s="477"/>
      <c r="EK37" s="477"/>
      <c r="EL37" s="477"/>
      <c r="EM37" s="477"/>
      <c r="EN37" s="477"/>
      <c r="EO37" s="477"/>
      <c r="EP37" s="477"/>
      <c r="EQ37" s="477"/>
      <c r="ER37" s="477"/>
      <c r="ES37" s="477"/>
      <c r="ET37" s="477"/>
      <c r="EU37" s="477"/>
      <c r="EV37" s="477"/>
      <c r="EW37" s="477"/>
      <c r="EX37" s="477"/>
      <c r="EY37" s="477"/>
      <c r="EZ37" s="477"/>
      <c r="FA37" s="477"/>
      <c r="FB37" s="477"/>
      <c r="FC37" s="477"/>
      <c r="FD37" s="477"/>
      <c r="FE37" s="477"/>
      <c r="FF37" s="477"/>
      <c r="FG37" s="477"/>
      <c r="FH37" s="477"/>
      <c r="FI37" s="477"/>
      <c r="FJ37" s="477"/>
      <c r="FK37" s="477"/>
      <c r="FL37" s="477"/>
      <c r="FM37" s="477"/>
      <c r="FN37" s="477"/>
      <c r="FO37" s="477"/>
      <c r="FP37" s="477"/>
      <c r="FQ37" s="477"/>
      <c r="FR37" s="477"/>
      <c r="FS37" s="477"/>
      <c r="FT37" s="477"/>
      <c r="FU37" s="477"/>
      <c r="FV37" s="477"/>
      <c r="FW37" s="477"/>
      <c r="FX37" s="477"/>
      <c r="FY37" s="477"/>
      <c r="FZ37" s="477"/>
    </row>
    <row r="38" spans="1:182" ht="15.75" x14ac:dyDescent="0.25">
      <c r="A38" s="477"/>
      <c r="B38" s="477"/>
      <c r="C38" s="477"/>
      <c r="D38" s="477"/>
      <c r="E38" s="477"/>
      <c r="F38" s="477"/>
      <c r="G38" s="477"/>
      <c r="H38" s="477"/>
      <c r="I38" s="477"/>
      <c r="J38" s="477"/>
      <c r="K38" s="477"/>
      <c r="L38" s="477"/>
      <c r="M38" s="477"/>
      <c r="N38" s="477"/>
      <c r="O38" s="477"/>
      <c r="P38" s="477"/>
      <c r="Q38" s="477"/>
      <c r="R38" s="477"/>
      <c r="S38" s="477"/>
      <c r="T38" s="477"/>
      <c r="U38" s="477"/>
      <c r="V38" s="477"/>
      <c r="W38" s="477"/>
      <c r="X38" s="477"/>
      <c r="Y38" s="477"/>
      <c r="Z38" s="477"/>
      <c r="AA38" s="477"/>
      <c r="AB38" s="477"/>
      <c r="AC38" s="477"/>
      <c r="AD38" s="477"/>
      <c r="AE38" s="477"/>
      <c r="AF38" s="477"/>
      <c r="AG38" s="477"/>
      <c r="AH38" s="477"/>
      <c r="AI38" s="477"/>
      <c r="AJ38" s="477"/>
      <c r="AK38" s="477"/>
      <c r="AL38" s="477"/>
      <c r="AM38" s="477"/>
      <c r="AN38" s="477"/>
      <c r="AO38" s="477"/>
      <c r="AP38" s="477"/>
      <c r="AQ38" s="477"/>
      <c r="AR38" s="477"/>
      <c r="AS38" s="477"/>
      <c r="AT38" s="477"/>
      <c r="AU38" s="477"/>
      <c r="AV38" s="477"/>
      <c r="AW38" s="477"/>
      <c r="AX38" s="477"/>
      <c r="AY38" s="477"/>
      <c r="AZ38" s="477"/>
      <c r="BA38" s="477"/>
      <c r="BB38" s="477"/>
      <c r="BC38" s="477"/>
      <c r="BD38" s="477"/>
      <c r="BE38" s="477"/>
      <c r="BF38" s="477"/>
      <c r="BG38" s="477"/>
      <c r="BH38" s="477"/>
      <c r="BI38" s="477"/>
      <c r="BJ38" s="477"/>
      <c r="BK38" s="477"/>
      <c r="BL38" s="477"/>
      <c r="BM38" s="477"/>
      <c r="BN38" s="477"/>
      <c r="BO38" s="477"/>
      <c r="BP38" s="477"/>
      <c r="BQ38" s="477"/>
      <c r="BR38" s="477"/>
      <c r="BS38" s="477"/>
      <c r="BT38" s="477"/>
      <c r="BU38" s="477"/>
      <c r="BV38" s="477"/>
      <c r="BW38" s="477"/>
      <c r="BX38" s="477"/>
      <c r="BY38" s="477"/>
      <c r="BZ38" s="477"/>
      <c r="CA38" s="477"/>
      <c r="CB38" s="477"/>
      <c r="CC38" s="477"/>
      <c r="CD38" s="477"/>
      <c r="CE38" s="477"/>
      <c r="CF38" s="477"/>
      <c r="CG38" s="477"/>
      <c r="CH38" s="477"/>
      <c r="CI38" s="477"/>
      <c r="CJ38" s="477"/>
      <c r="CK38" s="477"/>
      <c r="CL38" s="477"/>
      <c r="CM38" s="477"/>
      <c r="CN38" s="477"/>
      <c r="CO38" s="477"/>
      <c r="CP38" s="477"/>
      <c r="CQ38" s="477"/>
      <c r="CR38" s="477"/>
      <c r="CS38" s="477"/>
      <c r="CT38" s="477"/>
      <c r="CU38" s="477"/>
      <c r="CV38" s="477"/>
      <c r="CW38" s="477"/>
      <c r="CX38" s="477"/>
      <c r="CY38" s="477"/>
      <c r="CZ38" s="477"/>
      <c r="DA38" s="477"/>
      <c r="DB38" s="477"/>
      <c r="DC38" s="477"/>
      <c r="DD38" s="477"/>
      <c r="DE38" s="477"/>
      <c r="DF38" s="477"/>
      <c r="DG38" s="477"/>
      <c r="DH38" s="477"/>
      <c r="DI38" s="477"/>
      <c r="DJ38" s="477"/>
      <c r="DK38" s="477"/>
      <c r="DL38" s="477"/>
      <c r="DM38" s="477"/>
      <c r="DN38" s="477"/>
      <c r="DO38" s="477"/>
      <c r="DP38" s="477"/>
      <c r="DQ38" s="477"/>
      <c r="DR38" s="477"/>
      <c r="DS38" s="477"/>
      <c r="DT38" s="477"/>
      <c r="DU38" s="477"/>
      <c r="DV38" s="477"/>
      <c r="DW38" s="477"/>
      <c r="DX38" s="477"/>
      <c r="DY38" s="477"/>
      <c r="DZ38" s="477"/>
      <c r="EA38" s="477"/>
      <c r="EB38" s="477"/>
      <c r="EC38" s="477"/>
      <c r="ED38" s="477"/>
      <c r="EE38" s="477"/>
      <c r="EF38" s="477"/>
      <c r="EG38" s="477"/>
      <c r="EH38" s="477"/>
      <c r="EI38" s="477"/>
      <c r="EJ38" s="477"/>
      <c r="EK38" s="477"/>
      <c r="EL38" s="477"/>
      <c r="EM38" s="477"/>
      <c r="EN38" s="477"/>
      <c r="EO38" s="477"/>
      <c r="EP38" s="477"/>
      <c r="EQ38" s="477"/>
      <c r="ER38" s="477"/>
      <c r="ES38" s="477"/>
      <c r="ET38" s="477"/>
      <c r="EU38" s="477"/>
      <c r="EV38" s="477"/>
      <c r="EW38" s="477"/>
      <c r="EX38" s="477"/>
      <c r="EY38" s="477"/>
      <c r="EZ38" s="477"/>
      <c r="FA38" s="477"/>
      <c r="FB38" s="477"/>
      <c r="FC38" s="477"/>
      <c r="FD38" s="477"/>
      <c r="FE38" s="477"/>
      <c r="FF38" s="477"/>
      <c r="FG38" s="477"/>
      <c r="FH38" s="477"/>
      <c r="FI38" s="477"/>
      <c r="FJ38" s="477"/>
      <c r="FK38" s="477"/>
      <c r="FL38" s="477"/>
      <c r="FM38" s="477"/>
      <c r="FN38" s="477"/>
      <c r="FO38" s="477"/>
      <c r="FP38" s="477"/>
      <c r="FQ38" s="477"/>
      <c r="FR38" s="477"/>
      <c r="FS38" s="477"/>
      <c r="FT38" s="477"/>
      <c r="FU38" s="477"/>
      <c r="FV38" s="477"/>
      <c r="FW38" s="477"/>
      <c r="FX38" s="477"/>
      <c r="FY38" s="477"/>
      <c r="FZ38" s="477"/>
    </row>
    <row r="39" spans="1:182" ht="19.350000000000001" customHeight="1" x14ac:dyDescent="0.25">
      <c r="A39" s="478" t="s">
        <v>374</v>
      </c>
      <c r="B39" s="479" t="s">
        <v>456</v>
      </c>
      <c r="C39" s="480"/>
      <c r="D39" s="480"/>
      <c r="E39" s="480"/>
      <c r="F39" s="480"/>
      <c r="G39" s="481" t="s">
        <v>375</v>
      </c>
      <c r="H39" s="477"/>
      <c r="I39" s="477"/>
      <c r="J39" s="482"/>
      <c r="K39" s="482"/>
      <c r="L39" s="482"/>
      <c r="M39" s="482"/>
      <c r="N39" s="482"/>
      <c r="O39" s="478" t="s">
        <v>374</v>
      </c>
      <c r="P39" s="479" t="s">
        <v>456</v>
      </c>
      <c r="Q39" s="480"/>
      <c r="R39" s="480"/>
      <c r="S39" s="480"/>
      <c r="T39" s="480"/>
      <c r="U39" s="481" t="s">
        <v>375</v>
      </c>
      <c r="V39" s="477"/>
      <c r="W39" s="477"/>
      <c r="X39" s="482"/>
      <c r="Y39" s="482"/>
      <c r="Z39" s="482"/>
      <c r="AA39" s="482"/>
      <c r="AB39" s="482"/>
      <c r="AC39" s="478" t="s">
        <v>374</v>
      </c>
      <c r="AD39" s="479" t="s">
        <v>456</v>
      </c>
      <c r="AE39" s="480"/>
      <c r="AF39" s="480"/>
      <c r="AG39" s="480"/>
      <c r="AH39" s="480"/>
      <c r="AI39" s="481" t="s">
        <v>375</v>
      </c>
      <c r="AJ39" s="477"/>
      <c r="AK39" s="477"/>
      <c r="AL39" s="482"/>
      <c r="AM39" s="482"/>
      <c r="AN39" s="482"/>
      <c r="AO39" s="482"/>
      <c r="AP39" s="482"/>
      <c r="AQ39" s="478" t="s">
        <v>374</v>
      </c>
      <c r="AR39" s="479" t="s">
        <v>456</v>
      </c>
      <c r="AS39" s="480"/>
      <c r="AT39" s="480"/>
      <c r="AU39" s="480"/>
      <c r="AV39" s="480"/>
      <c r="AW39" s="481" t="s">
        <v>375</v>
      </c>
      <c r="AX39" s="477"/>
      <c r="AY39" s="477"/>
      <c r="AZ39" s="482"/>
      <c r="BA39" s="482"/>
      <c r="BB39" s="482"/>
      <c r="BC39" s="482"/>
      <c r="BD39" s="482"/>
      <c r="BE39" s="478" t="s">
        <v>374</v>
      </c>
      <c r="BF39" s="479" t="s">
        <v>456</v>
      </c>
      <c r="BG39" s="480"/>
      <c r="BH39" s="480"/>
      <c r="BI39" s="480"/>
      <c r="BJ39" s="480"/>
      <c r="BK39" s="481" t="s">
        <v>375</v>
      </c>
      <c r="BL39" s="477"/>
      <c r="BM39" s="477"/>
      <c r="BN39" s="482"/>
      <c r="BO39" s="482"/>
      <c r="BP39" s="482"/>
      <c r="BQ39" s="482"/>
      <c r="BR39" s="482"/>
      <c r="BS39" s="478" t="s">
        <v>374</v>
      </c>
      <c r="BT39" s="479" t="s">
        <v>456</v>
      </c>
      <c r="BU39" s="480"/>
      <c r="BV39" s="480"/>
      <c r="BW39" s="480"/>
      <c r="BX39" s="480"/>
      <c r="BY39" s="481" t="s">
        <v>375</v>
      </c>
      <c r="BZ39" s="477"/>
      <c r="CA39" s="477"/>
      <c r="CB39" s="482"/>
      <c r="CC39" s="482"/>
      <c r="CD39" s="482"/>
      <c r="CE39" s="482"/>
      <c r="CF39" s="482"/>
      <c r="CG39" s="478" t="s">
        <v>374</v>
      </c>
      <c r="CH39" s="479" t="s">
        <v>456</v>
      </c>
      <c r="CI39" s="480"/>
      <c r="CJ39" s="480"/>
      <c r="CK39" s="480"/>
      <c r="CL39" s="480"/>
      <c r="CM39" s="481" t="s">
        <v>375</v>
      </c>
      <c r="CN39" s="477"/>
      <c r="CO39" s="477"/>
      <c r="CP39" s="482"/>
      <c r="CQ39" s="482"/>
      <c r="CR39" s="482"/>
      <c r="CS39" s="482"/>
      <c r="CT39" s="482"/>
      <c r="CU39" s="478" t="s">
        <v>374</v>
      </c>
      <c r="CV39" s="479" t="s">
        <v>456</v>
      </c>
      <c r="CW39" s="480"/>
      <c r="CX39" s="480"/>
      <c r="CY39" s="480"/>
      <c r="CZ39" s="480"/>
      <c r="DA39" s="481" t="s">
        <v>375</v>
      </c>
      <c r="DB39" s="477"/>
      <c r="DC39" s="477"/>
      <c r="DD39" s="482"/>
      <c r="DE39" s="482"/>
      <c r="DF39" s="482"/>
      <c r="DG39" s="482"/>
      <c r="DH39" s="482"/>
      <c r="DI39" s="478" t="s">
        <v>374</v>
      </c>
      <c r="DJ39" s="479" t="s">
        <v>456</v>
      </c>
      <c r="DK39" s="480"/>
      <c r="DL39" s="480"/>
      <c r="DM39" s="480"/>
      <c r="DN39" s="480"/>
      <c r="DO39" s="481" t="s">
        <v>375</v>
      </c>
      <c r="DP39" s="477"/>
      <c r="DQ39" s="477"/>
      <c r="DR39" s="482"/>
      <c r="DS39" s="482"/>
      <c r="DT39" s="482"/>
      <c r="DU39" s="482"/>
      <c r="DV39" s="482"/>
      <c r="DW39" s="478" t="s">
        <v>374</v>
      </c>
      <c r="DX39" s="479" t="s">
        <v>456</v>
      </c>
      <c r="DY39" s="480"/>
      <c r="DZ39" s="480"/>
      <c r="EA39" s="480"/>
      <c r="EB39" s="480"/>
      <c r="EC39" s="481" t="s">
        <v>375</v>
      </c>
      <c r="ED39" s="477"/>
      <c r="EE39" s="477"/>
      <c r="EF39" s="482"/>
      <c r="EG39" s="482"/>
      <c r="EH39" s="482"/>
      <c r="EI39" s="482"/>
      <c r="EJ39" s="482"/>
      <c r="EK39" s="478" t="s">
        <v>374</v>
      </c>
      <c r="EL39" s="479" t="s">
        <v>456</v>
      </c>
      <c r="EM39" s="480"/>
      <c r="EN39" s="480"/>
      <c r="EO39" s="480"/>
      <c r="EP39" s="480"/>
      <c r="EQ39" s="481" t="s">
        <v>375</v>
      </c>
      <c r="ER39" s="477"/>
      <c r="ES39" s="477"/>
      <c r="ET39" s="482"/>
      <c r="EU39" s="482"/>
      <c r="EV39" s="482"/>
      <c r="EW39" s="482"/>
      <c r="EX39" s="482"/>
      <c r="EY39" s="478" t="s">
        <v>374</v>
      </c>
      <c r="EZ39" s="479" t="s">
        <v>456</v>
      </c>
      <c r="FA39" s="480"/>
      <c r="FB39" s="480"/>
      <c r="FC39" s="480"/>
      <c r="FD39" s="480"/>
      <c r="FE39" s="481" t="s">
        <v>375</v>
      </c>
      <c r="FF39" s="477"/>
      <c r="FG39" s="477"/>
      <c r="FH39" s="482"/>
      <c r="FI39" s="482"/>
      <c r="FJ39" s="482"/>
      <c r="FK39" s="482"/>
      <c r="FL39" s="482"/>
      <c r="FM39" s="478" t="s">
        <v>374</v>
      </c>
      <c r="FN39" s="479" t="s">
        <v>456</v>
      </c>
      <c r="FO39" s="480"/>
      <c r="FP39" s="480"/>
      <c r="FQ39" s="480"/>
      <c r="FR39" s="480"/>
      <c r="FS39" s="481" t="s">
        <v>375</v>
      </c>
      <c r="FT39" s="477"/>
      <c r="FU39" s="477"/>
      <c r="FV39" s="482"/>
      <c r="FW39" s="482"/>
      <c r="FX39" s="482"/>
      <c r="FY39" s="482"/>
      <c r="FZ39" s="482"/>
    </row>
    <row r="40" spans="1:182" ht="19.350000000000001" customHeight="1" x14ac:dyDescent="0.25">
      <c r="A40" s="481" t="s">
        <v>376</v>
      </c>
      <c r="B40" s="483" t="s">
        <v>457</v>
      </c>
      <c r="C40" s="480"/>
      <c r="D40" s="480"/>
      <c r="E40" s="480"/>
      <c r="F40" s="480"/>
      <c r="G40" s="480"/>
      <c r="H40" s="480"/>
      <c r="I40" s="480"/>
      <c r="J40" s="480"/>
      <c r="K40" s="484"/>
      <c r="L40" s="480"/>
      <c r="M40" s="480"/>
      <c r="N40" s="480"/>
      <c r="O40" s="481" t="s">
        <v>376</v>
      </c>
      <c r="P40" s="483" t="s">
        <v>457</v>
      </c>
      <c r="Q40" s="480"/>
      <c r="R40" s="480"/>
      <c r="S40" s="480"/>
      <c r="T40" s="480"/>
      <c r="U40" s="480"/>
      <c r="V40" s="480"/>
      <c r="W40" s="480"/>
      <c r="X40" s="480"/>
      <c r="Y40" s="484"/>
      <c r="Z40" s="480"/>
      <c r="AA40" s="480"/>
      <c r="AB40" s="480"/>
      <c r="AC40" s="481" t="s">
        <v>376</v>
      </c>
      <c r="AD40" s="483" t="s">
        <v>457</v>
      </c>
      <c r="AE40" s="480"/>
      <c r="AF40" s="480"/>
      <c r="AG40" s="480"/>
      <c r="AH40" s="480"/>
      <c r="AI40" s="480"/>
      <c r="AJ40" s="480"/>
      <c r="AK40" s="480"/>
      <c r="AL40" s="480"/>
      <c r="AM40" s="484"/>
      <c r="AN40" s="480"/>
      <c r="AO40" s="480"/>
      <c r="AP40" s="480"/>
      <c r="AQ40" s="481" t="s">
        <v>376</v>
      </c>
      <c r="AR40" s="483" t="s">
        <v>457</v>
      </c>
      <c r="AS40" s="480"/>
      <c r="AT40" s="480"/>
      <c r="AU40" s="480"/>
      <c r="AV40" s="480"/>
      <c r="AW40" s="480"/>
      <c r="AX40" s="480"/>
      <c r="AY40" s="480"/>
      <c r="AZ40" s="480"/>
      <c r="BA40" s="484"/>
      <c r="BB40" s="480"/>
      <c r="BC40" s="480"/>
      <c r="BD40" s="480"/>
      <c r="BE40" s="481" t="s">
        <v>376</v>
      </c>
      <c r="BF40" s="483" t="s">
        <v>457</v>
      </c>
      <c r="BG40" s="480"/>
      <c r="BH40" s="480"/>
      <c r="BI40" s="480"/>
      <c r="BJ40" s="480"/>
      <c r="BK40" s="480"/>
      <c r="BL40" s="480"/>
      <c r="BM40" s="480"/>
      <c r="BN40" s="480"/>
      <c r="BO40" s="484"/>
      <c r="BP40" s="480"/>
      <c r="BQ40" s="480"/>
      <c r="BR40" s="480"/>
      <c r="BS40" s="481" t="s">
        <v>376</v>
      </c>
      <c r="BT40" s="483" t="s">
        <v>457</v>
      </c>
      <c r="BU40" s="480"/>
      <c r="BV40" s="480"/>
      <c r="BW40" s="480"/>
      <c r="BX40" s="480"/>
      <c r="BY40" s="480"/>
      <c r="BZ40" s="480"/>
      <c r="CA40" s="480"/>
      <c r="CB40" s="480"/>
      <c r="CC40" s="484"/>
      <c r="CD40" s="480"/>
      <c r="CE40" s="480"/>
      <c r="CF40" s="480"/>
      <c r="CG40" s="481" t="s">
        <v>376</v>
      </c>
      <c r="CH40" s="483" t="s">
        <v>457</v>
      </c>
      <c r="CI40" s="480"/>
      <c r="CJ40" s="480"/>
      <c r="CK40" s="480"/>
      <c r="CL40" s="480"/>
      <c r="CM40" s="480"/>
      <c r="CN40" s="480"/>
      <c r="CO40" s="480"/>
      <c r="CP40" s="480"/>
      <c r="CQ40" s="484"/>
      <c r="CR40" s="480"/>
      <c r="CS40" s="480"/>
      <c r="CT40" s="480"/>
      <c r="CU40" s="481" t="s">
        <v>376</v>
      </c>
      <c r="CV40" s="483" t="s">
        <v>457</v>
      </c>
      <c r="CW40" s="480"/>
      <c r="CX40" s="480"/>
      <c r="CY40" s="480"/>
      <c r="CZ40" s="480"/>
      <c r="DA40" s="480"/>
      <c r="DB40" s="480"/>
      <c r="DC40" s="480"/>
      <c r="DD40" s="480"/>
      <c r="DE40" s="484"/>
      <c r="DF40" s="480"/>
      <c r="DG40" s="480"/>
      <c r="DH40" s="480"/>
      <c r="DI40" s="481" t="s">
        <v>376</v>
      </c>
      <c r="DJ40" s="483" t="s">
        <v>457</v>
      </c>
      <c r="DK40" s="480"/>
      <c r="DL40" s="480"/>
      <c r="DM40" s="480"/>
      <c r="DN40" s="480"/>
      <c r="DO40" s="480"/>
      <c r="DP40" s="480"/>
      <c r="DQ40" s="480"/>
      <c r="DR40" s="480"/>
      <c r="DS40" s="484"/>
      <c r="DT40" s="480"/>
      <c r="DU40" s="480"/>
      <c r="DV40" s="480"/>
      <c r="DW40" s="481" t="s">
        <v>376</v>
      </c>
      <c r="DX40" s="483" t="s">
        <v>457</v>
      </c>
      <c r="DY40" s="480"/>
      <c r="DZ40" s="480"/>
      <c r="EA40" s="480"/>
      <c r="EB40" s="480"/>
      <c r="EC40" s="480"/>
      <c r="ED40" s="480"/>
      <c r="EE40" s="480"/>
      <c r="EF40" s="480"/>
      <c r="EG40" s="484"/>
      <c r="EH40" s="480"/>
      <c r="EI40" s="480"/>
      <c r="EJ40" s="480"/>
      <c r="EK40" s="481" t="s">
        <v>376</v>
      </c>
      <c r="EL40" s="483" t="s">
        <v>457</v>
      </c>
      <c r="EM40" s="480"/>
      <c r="EN40" s="480"/>
      <c r="EO40" s="480"/>
      <c r="EP40" s="480"/>
      <c r="EQ40" s="480"/>
      <c r="ER40" s="480"/>
      <c r="ES40" s="480"/>
      <c r="ET40" s="480"/>
      <c r="EU40" s="484"/>
      <c r="EV40" s="480"/>
      <c r="EW40" s="480"/>
      <c r="EX40" s="480"/>
      <c r="EY40" s="481" t="s">
        <v>376</v>
      </c>
      <c r="EZ40" s="483" t="s">
        <v>457</v>
      </c>
      <c r="FA40" s="480"/>
      <c r="FB40" s="480"/>
      <c r="FC40" s="480"/>
      <c r="FD40" s="480"/>
      <c r="FE40" s="480"/>
      <c r="FF40" s="480"/>
      <c r="FG40" s="480"/>
      <c r="FH40" s="480"/>
      <c r="FI40" s="484"/>
      <c r="FJ40" s="480"/>
      <c r="FK40" s="480"/>
      <c r="FL40" s="480"/>
      <c r="FM40" s="481" t="s">
        <v>376</v>
      </c>
      <c r="FN40" s="483" t="s">
        <v>457</v>
      </c>
      <c r="FO40" s="480"/>
      <c r="FP40" s="480"/>
      <c r="FQ40" s="480"/>
      <c r="FR40" s="480"/>
      <c r="FS40" s="480"/>
      <c r="FT40" s="480"/>
      <c r="FU40" s="480"/>
      <c r="FV40" s="480"/>
      <c r="FW40" s="484"/>
      <c r="FX40" s="480"/>
      <c r="FY40" s="480"/>
      <c r="FZ40" s="480"/>
    </row>
    <row r="41" spans="1:182" s="297" customFormat="1" ht="19.350000000000001" customHeight="1" x14ac:dyDescent="0.2">
      <c r="A41" s="485" t="s">
        <v>377</v>
      </c>
      <c r="B41" s="481" t="s">
        <v>378</v>
      </c>
      <c r="C41" s="481"/>
      <c r="D41" s="481"/>
      <c r="E41" s="481"/>
      <c r="F41" s="481"/>
      <c r="G41" s="481"/>
      <c r="H41" s="481"/>
      <c r="I41" s="481"/>
      <c r="J41" s="481"/>
      <c r="K41" s="486"/>
      <c r="L41" s="487" t="s">
        <v>542</v>
      </c>
      <c r="M41" s="481"/>
      <c r="N41" s="481"/>
      <c r="O41" s="485" t="s">
        <v>377</v>
      </c>
      <c r="P41" s="481" t="s">
        <v>378</v>
      </c>
      <c r="Q41" s="481"/>
      <c r="R41" s="481"/>
      <c r="S41" s="481"/>
      <c r="T41" s="481"/>
      <c r="U41" s="481"/>
      <c r="V41" s="481"/>
      <c r="W41" s="481"/>
      <c r="X41" s="481"/>
      <c r="Y41" s="486"/>
      <c r="Z41" s="487" t="s">
        <v>543</v>
      </c>
      <c r="AA41" s="481"/>
      <c r="AB41" s="481"/>
      <c r="AC41" s="485" t="s">
        <v>377</v>
      </c>
      <c r="AD41" s="481" t="s">
        <v>378</v>
      </c>
      <c r="AE41" s="481"/>
      <c r="AF41" s="481"/>
      <c r="AG41" s="481"/>
      <c r="AH41" s="481"/>
      <c r="AI41" s="481"/>
      <c r="AJ41" s="481"/>
      <c r="AK41" s="481"/>
      <c r="AL41" s="481"/>
      <c r="AM41" s="486"/>
      <c r="AN41" s="487" t="s">
        <v>544</v>
      </c>
      <c r="AO41" s="481"/>
      <c r="AP41" s="481"/>
      <c r="AQ41" s="485" t="s">
        <v>377</v>
      </c>
      <c r="AR41" s="481" t="s">
        <v>378</v>
      </c>
      <c r="AS41" s="481"/>
      <c r="AT41" s="481"/>
      <c r="AU41" s="481"/>
      <c r="AV41" s="481"/>
      <c r="AW41" s="481"/>
      <c r="AX41" s="481"/>
      <c r="AY41" s="481"/>
      <c r="AZ41" s="481"/>
      <c r="BA41" s="486"/>
      <c r="BB41" s="487" t="s">
        <v>545</v>
      </c>
      <c r="BC41" s="481"/>
      <c r="BD41" s="481"/>
      <c r="BE41" s="485" t="s">
        <v>377</v>
      </c>
      <c r="BF41" s="481" t="s">
        <v>378</v>
      </c>
      <c r="BG41" s="481"/>
      <c r="BH41" s="481"/>
      <c r="BI41" s="481"/>
      <c r="BJ41" s="481"/>
      <c r="BK41" s="481"/>
      <c r="BL41" s="481"/>
      <c r="BM41" s="481"/>
      <c r="BN41" s="481"/>
      <c r="BO41" s="486"/>
      <c r="BP41" s="487" t="s">
        <v>546</v>
      </c>
      <c r="BQ41" s="481"/>
      <c r="BR41" s="481"/>
      <c r="BS41" s="485" t="s">
        <v>377</v>
      </c>
      <c r="BT41" s="481" t="s">
        <v>378</v>
      </c>
      <c r="BU41" s="481"/>
      <c r="BV41" s="481"/>
      <c r="BW41" s="481"/>
      <c r="BX41" s="481"/>
      <c r="BY41" s="481"/>
      <c r="BZ41" s="481"/>
      <c r="CA41" s="481"/>
      <c r="CB41" s="481"/>
      <c r="CC41" s="486"/>
      <c r="CD41" s="487" t="s">
        <v>547</v>
      </c>
      <c r="CE41" s="481"/>
      <c r="CF41" s="481"/>
      <c r="CG41" s="485" t="s">
        <v>377</v>
      </c>
      <c r="CH41" s="481" t="s">
        <v>378</v>
      </c>
      <c r="CI41" s="481"/>
      <c r="CJ41" s="481"/>
      <c r="CK41" s="481"/>
      <c r="CL41" s="481"/>
      <c r="CM41" s="481"/>
      <c r="CN41" s="481"/>
      <c r="CO41" s="481"/>
      <c r="CP41" s="481"/>
      <c r="CQ41" s="486"/>
      <c r="CR41" s="487" t="s">
        <v>402</v>
      </c>
      <c r="CS41" s="481"/>
      <c r="CT41" s="481"/>
      <c r="CU41" s="485" t="s">
        <v>377</v>
      </c>
      <c r="CV41" s="481" t="s">
        <v>378</v>
      </c>
      <c r="CW41" s="481"/>
      <c r="CX41" s="481"/>
      <c r="CY41" s="481"/>
      <c r="CZ41" s="481"/>
      <c r="DA41" s="481"/>
      <c r="DB41" s="481"/>
      <c r="DC41" s="481"/>
      <c r="DD41" s="481"/>
      <c r="DE41" s="486"/>
      <c r="DF41" s="487" t="s">
        <v>403</v>
      </c>
      <c r="DG41" s="481"/>
      <c r="DH41" s="481"/>
      <c r="DI41" s="485" t="s">
        <v>377</v>
      </c>
      <c r="DJ41" s="481" t="s">
        <v>378</v>
      </c>
      <c r="DK41" s="481"/>
      <c r="DL41" s="481"/>
      <c r="DM41" s="481"/>
      <c r="DN41" s="481"/>
      <c r="DO41" s="481"/>
      <c r="DP41" s="481"/>
      <c r="DQ41" s="481"/>
      <c r="DR41" s="481"/>
      <c r="DS41" s="486"/>
      <c r="DT41" s="487" t="s">
        <v>404</v>
      </c>
      <c r="DU41" s="481"/>
      <c r="DV41" s="481"/>
      <c r="DW41" s="485" t="s">
        <v>377</v>
      </c>
      <c r="DX41" s="481" t="s">
        <v>378</v>
      </c>
      <c r="DY41" s="481"/>
      <c r="DZ41" s="481"/>
      <c r="EA41" s="481"/>
      <c r="EB41" s="481"/>
      <c r="EC41" s="481"/>
      <c r="ED41" s="481"/>
      <c r="EE41" s="481"/>
      <c r="EF41" s="481"/>
      <c r="EG41" s="486"/>
      <c r="EH41" s="487" t="s">
        <v>405</v>
      </c>
      <c r="EI41" s="481"/>
      <c r="EJ41" s="481"/>
      <c r="EK41" s="485" t="s">
        <v>377</v>
      </c>
      <c r="EL41" s="481" t="s">
        <v>378</v>
      </c>
      <c r="EM41" s="481"/>
      <c r="EN41" s="481"/>
      <c r="EO41" s="481"/>
      <c r="EP41" s="481"/>
      <c r="EQ41" s="481"/>
      <c r="ER41" s="481"/>
      <c r="ES41" s="481"/>
      <c r="ET41" s="481"/>
      <c r="EU41" s="486"/>
      <c r="EV41" s="487" t="s">
        <v>406</v>
      </c>
      <c r="EW41" s="481"/>
      <c r="EX41" s="481"/>
      <c r="EY41" s="485" t="s">
        <v>377</v>
      </c>
      <c r="EZ41" s="481" t="s">
        <v>378</v>
      </c>
      <c r="FA41" s="481"/>
      <c r="FB41" s="481"/>
      <c r="FC41" s="481"/>
      <c r="FD41" s="481"/>
      <c r="FE41" s="481"/>
      <c r="FF41" s="481"/>
      <c r="FG41" s="481"/>
      <c r="FH41" s="481"/>
      <c r="FI41" s="486"/>
      <c r="FJ41" s="487" t="s">
        <v>407</v>
      </c>
      <c r="FK41" s="481"/>
      <c r="FL41" s="481"/>
      <c r="FM41" s="485" t="s">
        <v>377</v>
      </c>
      <c r="FN41" s="481" t="s">
        <v>378</v>
      </c>
      <c r="FO41" s="481"/>
      <c r="FP41" s="481"/>
      <c r="FQ41" s="481"/>
      <c r="FR41" s="481"/>
      <c r="FS41" s="481"/>
      <c r="FT41" s="481"/>
      <c r="FU41" s="481"/>
      <c r="FV41" s="481"/>
      <c r="FW41" s="486"/>
      <c r="FX41" s="487" t="s">
        <v>408</v>
      </c>
      <c r="FY41" s="481"/>
      <c r="FZ41" s="481"/>
    </row>
    <row r="42" spans="1:182" ht="9" customHeight="1" x14ac:dyDescent="0.25">
      <c r="A42" s="515"/>
      <c r="B42" s="515"/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477"/>
      <c r="P42" s="477"/>
      <c r="Q42" s="477"/>
      <c r="R42" s="477"/>
      <c r="S42" s="477"/>
      <c r="T42" s="477"/>
      <c r="U42" s="477"/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  <c r="AF42" s="477"/>
      <c r="AG42" s="477"/>
      <c r="AH42" s="477"/>
      <c r="AI42" s="477"/>
      <c r="AJ42" s="477"/>
      <c r="AK42" s="477"/>
      <c r="AL42" s="477"/>
      <c r="AM42" s="477"/>
      <c r="AN42" s="477"/>
      <c r="AO42" s="477"/>
      <c r="AP42" s="477"/>
      <c r="AQ42" s="477"/>
      <c r="AR42" s="477"/>
      <c r="AS42" s="477"/>
      <c r="AT42" s="477"/>
      <c r="AU42" s="477"/>
      <c r="AV42" s="477"/>
      <c r="AW42" s="477"/>
      <c r="AX42" s="477"/>
      <c r="AY42" s="477"/>
      <c r="AZ42" s="477"/>
      <c r="BA42" s="477"/>
      <c r="BB42" s="477"/>
      <c r="BC42" s="477"/>
      <c r="BD42" s="477"/>
      <c r="BE42" s="477"/>
      <c r="BF42" s="477"/>
      <c r="BG42" s="477"/>
      <c r="BH42" s="477"/>
      <c r="BI42" s="477"/>
      <c r="BJ42" s="477"/>
      <c r="BK42" s="477"/>
      <c r="BL42" s="477"/>
      <c r="BM42" s="477"/>
      <c r="BN42" s="477"/>
      <c r="BO42" s="477"/>
      <c r="BP42" s="477"/>
      <c r="BQ42" s="477"/>
      <c r="BR42" s="477"/>
      <c r="BS42" s="477"/>
      <c r="BT42" s="477"/>
      <c r="BU42" s="477"/>
      <c r="BV42" s="477"/>
      <c r="BW42" s="477"/>
      <c r="BX42" s="477"/>
      <c r="BY42" s="477"/>
      <c r="BZ42" s="477"/>
      <c r="CA42" s="477"/>
      <c r="CB42" s="477"/>
      <c r="CC42" s="477"/>
      <c r="CD42" s="477"/>
      <c r="CE42" s="477"/>
      <c r="CF42" s="477"/>
      <c r="CG42" s="477"/>
      <c r="CH42" s="477"/>
      <c r="CI42" s="477"/>
      <c r="CJ42" s="477"/>
      <c r="CK42" s="477"/>
      <c r="CL42" s="477"/>
      <c r="CM42" s="477"/>
      <c r="CN42" s="477"/>
      <c r="CO42" s="477"/>
      <c r="CP42" s="477"/>
      <c r="CQ42" s="477"/>
      <c r="CR42" s="477"/>
      <c r="CS42" s="477"/>
      <c r="CT42" s="477"/>
      <c r="CU42" s="477"/>
      <c r="CV42" s="477"/>
      <c r="CW42" s="477"/>
      <c r="CX42" s="477"/>
      <c r="CY42" s="477"/>
      <c r="CZ42" s="477"/>
      <c r="DA42" s="477"/>
      <c r="DB42" s="477"/>
      <c r="DC42" s="477"/>
      <c r="DD42" s="477"/>
      <c r="DE42" s="477"/>
      <c r="DF42" s="477"/>
      <c r="DG42" s="477"/>
      <c r="DH42" s="477"/>
      <c r="DI42" s="477"/>
      <c r="DJ42" s="477"/>
      <c r="DK42" s="477"/>
      <c r="DL42" s="477"/>
      <c r="DM42" s="477"/>
      <c r="DN42" s="477"/>
      <c r="DO42" s="477"/>
      <c r="DP42" s="477"/>
      <c r="DQ42" s="477"/>
      <c r="DR42" s="477"/>
      <c r="DS42" s="477"/>
      <c r="DT42" s="477"/>
      <c r="DU42" s="477"/>
      <c r="DV42" s="477"/>
      <c r="DW42" s="477"/>
      <c r="DX42" s="477"/>
      <c r="DY42" s="477"/>
      <c r="DZ42" s="477"/>
      <c r="EA42" s="477"/>
      <c r="EB42" s="477"/>
      <c r="EC42" s="477"/>
      <c r="ED42" s="477"/>
      <c r="EE42" s="477"/>
      <c r="EF42" s="477"/>
      <c r="EG42" s="477"/>
      <c r="EH42" s="477"/>
      <c r="EI42" s="477"/>
      <c r="EJ42" s="477"/>
      <c r="EK42" s="477"/>
      <c r="EL42" s="477"/>
      <c r="EM42" s="477"/>
      <c r="EN42" s="477"/>
      <c r="EO42" s="477"/>
      <c r="EP42" s="477"/>
      <c r="EQ42" s="477"/>
      <c r="ER42" s="477"/>
      <c r="ES42" s="477"/>
      <c r="ET42" s="477"/>
      <c r="EU42" s="477"/>
      <c r="EV42" s="477"/>
      <c r="EW42" s="477"/>
      <c r="EX42" s="477"/>
      <c r="EY42" s="515"/>
      <c r="EZ42" s="515"/>
      <c r="FA42" s="515"/>
      <c r="FB42" s="515"/>
      <c r="FC42" s="515"/>
      <c r="FD42" s="515"/>
      <c r="FE42" s="515"/>
      <c r="FF42" s="515"/>
      <c r="FG42" s="515"/>
      <c r="FH42" s="515"/>
      <c r="FI42" s="515"/>
      <c r="FJ42" s="515"/>
      <c r="FK42" s="515"/>
      <c r="FL42" s="515"/>
      <c r="FM42" s="477"/>
      <c r="FN42" s="477"/>
      <c r="FO42" s="477"/>
      <c r="FP42" s="477"/>
      <c r="FQ42" s="477"/>
      <c r="FR42" s="477"/>
      <c r="FS42" s="477"/>
      <c r="FT42" s="477"/>
      <c r="FU42" s="477"/>
      <c r="FV42" s="477"/>
      <c r="FW42" s="477"/>
      <c r="FX42" s="477"/>
      <c r="FY42" s="477"/>
      <c r="FZ42" s="477"/>
    </row>
    <row r="43" spans="1:182" s="488" customFormat="1" ht="19.350000000000001" customHeight="1" x14ac:dyDescent="0.2">
      <c r="A43" s="1058" t="s">
        <v>386</v>
      </c>
      <c r="B43" s="1056"/>
      <c r="C43" s="1056" t="str">
        <f>C11</f>
        <v>EQUI 4</v>
      </c>
      <c r="D43" s="1056"/>
      <c r="E43" s="1056"/>
      <c r="F43" s="1056"/>
      <c r="G43" s="1056" t="str">
        <f>G11</f>
        <v>EQUI 20</v>
      </c>
      <c r="H43" s="1056"/>
      <c r="I43" s="1056"/>
      <c r="J43" s="1056"/>
      <c r="K43" s="1056" t="str">
        <f>K11</f>
        <v>EQUI 21</v>
      </c>
      <c r="L43" s="1056"/>
      <c r="M43" s="1056"/>
      <c r="N43" s="1057"/>
      <c r="O43" s="1058" t="s">
        <v>386</v>
      </c>
      <c r="P43" s="1056"/>
      <c r="Q43" s="1056" t="str">
        <f>Q11</f>
        <v>EQUI 5</v>
      </c>
      <c r="R43" s="1056"/>
      <c r="S43" s="1056"/>
      <c r="T43" s="1056"/>
      <c r="U43" s="1056" t="str">
        <f>U11</f>
        <v>EQUI 1</v>
      </c>
      <c r="V43" s="1056"/>
      <c r="W43" s="1056"/>
      <c r="X43" s="1056"/>
      <c r="Y43" s="1056" t="str">
        <f>Y11</f>
        <v>EQUI 2</v>
      </c>
      <c r="Z43" s="1056"/>
      <c r="AA43" s="1056"/>
      <c r="AB43" s="1057"/>
      <c r="AC43" s="1058" t="s">
        <v>386</v>
      </c>
      <c r="AD43" s="1056"/>
      <c r="AE43" s="1056" t="str">
        <f>AE11</f>
        <v>EQUI 3</v>
      </c>
      <c r="AF43" s="1056"/>
      <c r="AG43" s="1056"/>
      <c r="AH43" s="1056"/>
      <c r="AI43" s="1056" t="str">
        <f>AI11</f>
        <v>EQUI 16</v>
      </c>
      <c r="AJ43" s="1056"/>
      <c r="AK43" s="1056"/>
      <c r="AL43" s="1056"/>
      <c r="AM43" s="1057" t="str">
        <f>AM11</f>
        <v>EQUI 17</v>
      </c>
      <c r="AN43" s="1059"/>
      <c r="AO43" s="1059"/>
      <c r="AP43" s="1059"/>
      <c r="AQ43" s="1058" t="s">
        <v>386</v>
      </c>
      <c r="AR43" s="1056"/>
      <c r="AS43" s="1057" t="str">
        <f>AS11</f>
        <v>EQUI 18</v>
      </c>
      <c r="AT43" s="1059"/>
      <c r="AU43" s="1059"/>
      <c r="AV43" s="1058"/>
      <c r="AW43" s="1057" t="str">
        <f>AW11</f>
        <v>EQUI 66</v>
      </c>
      <c r="AX43" s="1059"/>
      <c r="AY43" s="1059"/>
      <c r="AZ43" s="1058"/>
      <c r="BA43" s="1057" t="str">
        <f>BA11</f>
        <v>EQUI 8</v>
      </c>
      <c r="BB43" s="1059"/>
      <c r="BC43" s="1059"/>
      <c r="BD43" s="1059"/>
      <c r="BE43" s="1058" t="s">
        <v>386</v>
      </c>
      <c r="BF43" s="1056"/>
      <c r="BG43" s="1057" t="str">
        <f>BG11</f>
        <v>EQUI 9</v>
      </c>
      <c r="BH43" s="1059"/>
      <c r="BI43" s="1059"/>
      <c r="BJ43" s="1058"/>
      <c r="BK43" s="1057" t="str">
        <f>BK11</f>
        <v>EQUI 10</v>
      </c>
      <c r="BL43" s="1059"/>
      <c r="BM43" s="1059"/>
      <c r="BN43" s="1058"/>
      <c r="BO43" s="1057" t="str">
        <f>BO11</f>
        <v>FS001</v>
      </c>
      <c r="BP43" s="1059"/>
      <c r="BQ43" s="1059"/>
      <c r="BR43" s="1059"/>
      <c r="BS43" s="1058" t="s">
        <v>386</v>
      </c>
      <c r="BT43" s="1056"/>
      <c r="BU43" s="1057" t="str">
        <f>BU11</f>
        <v>FS002</v>
      </c>
      <c r="BV43" s="1059"/>
      <c r="BW43" s="1059"/>
      <c r="BX43" s="1058"/>
      <c r="BY43" s="1060">
        <f>BY11</f>
        <v>0</v>
      </c>
      <c r="BZ43" s="1061"/>
      <c r="CA43" s="1061"/>
      <c r="CB43" s="1062"/>
      <c r="CC43" s="1060">
        <f>CC11</f>
        <v>0</v>
      </c>
      <c r="CD43" s="1061"/>
      <c r="CE43" s="1061"/>
      <c r="CF43" s="1061"/>
      <c r="CG43" s="1058" t="s">
        <v>386</v>
      </c>
      <c r="CH43" s="1056"/>
      <c r="CI43" s="1057">
        <f>CI11</f>
        <v>0</v>
      </c>
      <c r="CJ43" s="1059"/>
      <c r="CK43" s="1059"/>
      <c r="CL43" s="1058"/>
      <c r="CM43" s="1057">
        <f>CM11</f>
        <v>0</v>
      </c>
      <c r="CN43" s="1059"/>
      <c r="CO43" s="1059"/>
      <c r="CP43" s="1058"/>
      <c r="CQ43" s="1057">
        <f>CQ11</f>
        <v>0</v>
      </c>
      <c r="CR43" s="1059"/>
      <c r="CS43" s="1059"/>
      <c r="CT43" s="1059"/>
      <c r="CU43" s="1058" t="s">
        <v>386</v>
      </c>
      <c r="CV43" s="1056"/>
      <c r="CW43" s="1057">
        <f>CW11</f>
        <v>0</v>
      </c>
      <c r="CX43" s="1059"/>
      <c r="CY43" s="1059"/>
      <c r="CZ43" s="1058"/>
      <c r="DA43" s="1057">
        <f>DA11</f>
        <v>0</v>
      </c>
      <c r="DB43" s="1059"/>
      <c r="DC43" s="1059"/>
      <c r="DD43" s="1058"/>
      <c r="DE43" s="1057" t="s">
        <v>387</v>
      </c>
      <c r="DF43" s="1059"/>
      <c r="DG43" s="1059"/>
      <c r="DH43" s="1059"/>
      <c r="DI43" s="1058" t="s">
        <v>386</v>
      </c>
      <c r="DJ43" s="1056"/>
      <c r="DK43" s="1057" t="s">
        <v>388</v>
      </c>
      <c r="DL43" s="1059"/>
      <c r="DM43" s="1059"/>
      <c r="DN43" s="1058"/>
      <c r="DO43" s="1056">
        <f>DO11</f>
        <v>0</v>
      </c>
      <c r="DP43" s="1056"/>
      <c r="DQ43" s="1056"/>
      <c r="DR43" s="1056"/>
      <c r="DS43" s="1056">
        <f>DS11</f>
        <v>0</v>
      </c>
      <c r="DT43" s="1056"/>
      <c r="DU43" s="1056"/>
      <c r="DV43" s="1057"/>
      <c r="DW43" s="1058" t="s">
        <v>386</v>
      </c>
      <c r="DX43" s="1056"/>
      <c r="DY43" s="1056">
        <f>DY11</f>
        <v>0</v>
      </c>
      <c r="DZ43" s="1056"/>
      <c r="EA43" s="1056"/>
      <c r="EB43" s="1056"/>
      <c r="EC43" s="1056">
        <f>EC11</f>
        <v>0</v>
      </c>
      <c r="ED43" s="1056"/>
      <c r="EE43" s="1056"/>
      <c r="EF43" s="1056"/>
      <c r="EG43" s="1056">
        <f>EG11</f>
        <v>0</v>
      </c>
      <c r="EH43" s="1056"/>
      <c r="EI43" s="1056"/>
      <c r="EJ43" s="1057"/>
      <c r="EK43" s="1054" t="s">
        <v>386</v>
      </c>
      <c r="EL43" s="1052"/>
      <c r="EM43" s="1052">
        <f>EM11</f>
        <v>0</v>
      </c>
      <c r="EN43" s="1052"/>
      <c r="EO43" s="1052"/>
      <c r="EP43" s="1052"/>
      <c r="EQ43" s="1052">
        <f>EQ11</f>
        <v>0</v>
      </c>
      <c r="ER43" s="1052"/>
      <c r="ES43" s="1052"/>
      <c r="ET43" s="1052"/>
      <c r="EU43" s="1052">
        <f>EU11</f>
        <v>0</v>
      </c>
      <c r="EV43" s="1052"/>
      <c r="EW43" s="1052"/>
      <c r="EX43" s="1053"/>
      <c r="EY43" s="1058" t="s">
        <v>386</v>
      </c>
      <c r="EZ43" s="1056"/>
      <c r="FA43" s="1056">
        <f>FA11</f>
        <v>0</v>
      </c>
      <c r="FB43" s="1056"/>
      <c r="FC43" s="1056"/>
      <c r="FD43" s="1056"/>
      <c r="FE43" s="1056">
        <f>FE11</f>
        <v>0</v>
      </c>
      <c r="FF43" s="1056"/>
      <c r="FG43" s="1056"/>
      <c r="FH43" s="1056"/>
      <c r="FI43" s="1056">
        <f>FI11</f>
        <v>0</v>
      </c>
      <c r="FJ43" s="1056"/>
      <c r="FK43" s="1056"/>
      <c r="FL43" s="1057"/>
      <c r="FM43" s="1058" t="s">
        <v>386</v>
      </c>
      <c r="FN43" s="1056"/>
      <c r="FO43" s="1056">
        <f>FO11</f>
        <v>0</v>
      </c>
      <c r="FP43" s="1056"/>
      <c r="FQ43" s="1056"/>
      <c r="FR43" s="1056"/>
      <c r="FS43" s="1056"/>
      <c r="FT43" s="1056"/>
      <c r="FU43" s="1056"/>
      <c r="FV43" s="1056"/>
      <c r="FW43" s="1056"/>
      <c r="FX43" s="1056"/>
      <c r="FY43" s="1056"/>
      <c r="FZ43" s="1057"/>
    </row>
    <row r="44" spans="1:182" s="488" customFormat="1" ht="19.350000000000001" customHeight="1" x14ac:dyDescent="0.2">
      <c r="A44" s="1052" t="s">
        <v>390</v>
      </c>
      <c r="B44" s="1052"/>
      <c r="C44" s="1052"/>
      <c r="D44" s="1052"/>
      <c r="E44" s="1052"/>
      <c r="F44" s="1052"/>
      <c r="G44" s="1052"/>
      <c r="H44" s="1052"/>
      <c r="I44" s="1052"/>
      <c r="J44" s="1052"/>
      <c r="K44" s="1052"/>
      <c r="L44" s="1052"/>
      <c r="M44" s="1052"/>
      <c r="N44" s="1053"/>
      <c r="O44" s="1054" t="s">
        <v>390</v>
      </c>
      <c r="P44" s="1052"/>
      <c r="Q44" s="1052"/>
      <c r="R44" s="1052"/>
      <c r="S44" s="1052"/>
      <c r="T44" s="1052"/>
      <c r="U44" s="1052"/>
      <c r="V44" s="1052"/>
      <c r="W44" s="1052"/>
      <c r="X44" s="1052"/>
      <c r="Y44" s="1052"/>
      <c r="Z44" s="1052"/>
      <c r="AA44" s="1052"/>
      <c r="AB44" s="1053"/>
      <c r="AC44" s="1054" t="s">
        <v>390</v>
      </c>
      <c r="AD44" s="1052"/>
      <c r="AE44" s="1052"/>
      <c r="AF44" s="1052"/>
      <c r="AG44" s="1052"/>
      <c r="AH44" s="1052"/>
      <c r="AI44" s="1052"/>
      <c r="AJ44" s="1052"/>
      <c r="AK44" s="1052"/>
      <c r="AL44" s="1052"/>
      <c r="AM44" s="1053"/>
      <c r="AN44" s="1055"/>
      <c r="AO44" s="1055"/>
      <c r="AP44" s="1055"/>
      <c r="AQ44" s="1054" t="s">
        <v>390</v>
      </c>
      <c r="AR44" s="1052"/>
      <c r="AS44" s="1053"/>
      <c r="AT44" s="1055"/>
      <c r="AU44" s="1055"/>
      <c r="AV44" s="1054"/>
      <c r="AW44" s="1053"/>
      <c r="AX44" s="1055"/>
      <c r="AY44" s="1055"/>
      <c r="AZ44" s="1054"/>
      <c r="BA44" s="1053"/>
      <c r="BB44" s="1055"/>
      <c r="BC44" s="1055"/>
      <c r="BD44" s="1055"/>
      <c r="BE44" s="1054" t="s">
        <v>390</v>
      </c>
      <c r="BF44" s="1052"/>
      <c r="BG44" s="1052"/>
      <c r="BH44" s="1052"/>
      <c r="BI44" s="1052"/>
      <c r="BJ44" s="1052"/>
      <c r="BK44" s="1052"/>
      <c r="BL44" s="1052"/>
      <c r="BM44" s="1052"/>
      <c r="BN44" s="1052"/>
      <c r="BO44" s="1052"/>
      <c r="BP44" s="1052"/>
      <c r="BQ44" s="1052"/>
      <c r="BR44" s="1053"/>
      <c r="BS44" s="1054" t="s">
        <v>390</v>
      </c>
      <c r="BT44" s="1052"/>
      <c r="BU44" s="1052"/>
      <c r="BV44" s="1052"/>
      <c r="BW44" s="1052"/>
      <c r="BX44" s="1052"/>
      <c r="BY44" s="1052"/>
      <c r="BZ44" s="1052"/>
      <c r="CA44" s="1052"/>
      <c r="CB44" s="1052"/>
      <c r="CC44" s="1052"/>
      <c r="CD44" s="1052"/>
      <c r="CE44" s="1052"/>
      <c r="CF44" s="1053"/>
      <c r="CG44" s="1054" t="s">
        <v>390</v>
      </c>
      <c r="CH44" s="1052"/>
      <c r="CI44" s="1052"/>
      <c r="CJ44" s="1052"/>
      <c r="CK44" s="1052"/>
      <c r="CL44" s="1052"/>
      <c r="CM44" s="1052"/>
      <c r="CN44" s="1052"/>
      <c r="CO44" s="1052"/>
      <c r="CP44" s="1052"/>
      <c r="CQ44" s="1052"/>
      <c r="CR44" s="1052"/>
      <c r="CS44" s="1052"/>
      <c r="CT44" s="1053"/>
      <c r="CU44" s="1054" t="s">
        <v>390</v>
      </c>
      <c r="CV44" s="1052"/>
      <c r="CW44" s="1052"/>
      <c r="CX44" s="1052"/>
      <c r="CY44" s="1052"/>
      <c r="CZ44" s="1052"/>
      <c r="DA44" s="1052"/>
      <c r="DB44" s="1052"/>
      <c r="DC44" s="1052"/>
      <c r="DD44" s="1052"/>
      <c r="DE44" s="1052"/>
      <c r="DF44" s="1052"/>
      <c r="DG44" s="1052"/>
      <c r="DH44" s="1053"/>
      <c r="DI44" s="1054" t="s">
        <v>390</v>
      </c>
      <c r="DJ44" s="1052"/>
      <c r="DK44" s="1052"/>
      <c r="DL44" s="1052"/>
      <c r="DM44" s="1052"/>
      <c r="DN44" s="1052"/>
      <c r="DO44" s="1052"/>
      <c r="DP44" s="1052"/>
      <c r="DQ44" s="1052"/>
      <c r="DR44" s="1052"/>
      <c r="DS44" s="1052"/>
      <c r="DT44" s="1052"/>
      <c r="DU44" s="1052"/>
      <c r="DV44" s="1053"/>
      <c r="DW44" s="1054" t="s">
        <v>390</v>
      </c>
      <c r="DX44" s="1052"/>
      <c r="DY44" s="1052"/>
      <c r="DZ44" s="1052"/>
      <c r="EA44" s="1052"/>
      <c r="EB44" s="1052"/>
      <c r="EC44" s="1052"/>
      <c r="ED44" s="1052"/>
      <c r="EE44" s="1052"/>
      <c r="EF44" s="1052"/>
      <c r="EG44" s="1052"/>
      <c r="EH44" s="1052"/>
      <c r="EI44" s="1052"/>
      <c r="EJ44" s="1053"/>
      <c r="EK44" s="1054" t="s">
        <v>390</v>
      </c>
      <c r="EL44" s="1052"/>
      <c r="EM44" s="1052"/>
      <c r="EN44" s="1052"/>
      <c r="EO44" s="1052"/>
      <c r="EP44" s="1052"/>
      <c r="EQ44" s="1052"/>
      <c r="ER44" s="1052"/>
      <c r="ES44" s="1052"/>
      <c r="ET44" s="1052"/>
      <c r="EU44" s="1052"/>
      <c r="EV44" s="1052"/>
      <c r="EW44" s="1052"/>
      <c r="EX44" s="1053"/>
      <c r="EY44" s="1054" t="s">
        <v>390</v>
      </c>
      <c r="EZ44" s="1052"/>
      <c r="FA44" s="1052"/>
      <c r="FB44" s="1052"/>
      <c r="FC44" s="1052"/>
      <c r="FD44" s="1052"/>
      <c r="FE44" s="1052"/>
      <c r="FF44" s="1052"/>
      <c r="FG44" s="1052"/>
      <c r="FH44" s="1052"/>
      <c r="FI44" s="1052"/>
      <c r="FJ44" s="1052"/>
      <c r="FK44" s="1052"/>
      <c r="FL44" s="1053"/>
      <c r="FM44" s="1054" t="s">
        <v>390</v>
      </c>
      <c r="FN44" s="1052"/>
      <c r="FO44" s="1052"/>
      <c r="FP44" s="1052"/>
      <c r="FQ44" s="1052"/>
      <c r="FR44" s="1052"/>
      <c r="FS44" s="1052"/>
      <c r="FT44" s="1052"/>
      <c r="FU44" s="1052"/>
      <c r="FV44" s="1052"/>
      <c r="FW44" s="1052"/>
      <c r="FX44" s="1052"/>
      <c r="FY44" s="1052"/>
      <c r="FZ44" s="1053"/>
    </row>
    <row r="45" spans="1:182" ht="19.350000000000001" customHeight="1" x14ac:dyDescent="0.2">
      <c r="A45" s="308" t="s">
        <v>391</v>
      </c>
      <c r="B45" s="490" t="s">
        <v>392</v>
      </c>
      <c r="C45" s="1044" t="s">
        <v>393</v>
      </c>
      <c r="D45" s="1045"/>
      <c r="E45" s="1046"/>
      <c r="F45" s="491" t="s">
        <v>394</v>
      </c>
      <c r="G45" s="1044" t="s">
        <v>393</v>
      </c>
      <c r="H45" s="1045"/>
      <c r="I45" s="1046"/>
      <c r="J45" s="492" t="s">
        <v>394</v>
      </c>
      <c r="K45" s="1044" t="s">
        <v>393</v>
      </c>
      <c r="L45" s="1045"/>
      <c r="M45" s="1046"/>
      <c r="N45" s="493" t="s">
        <v>394</v>
      </c>
      <c r="O45" s="489" t="s">
        <v>391</v>
      </c>
      <c r="P45" s="490" t="s">
        <v>392</v>
      </c>
      <c r="Q45" s="1044" t="s">
        <v>393</v>
      </c>
      <c r="R45" s="1045"/>
      <c r="S45" s="1046"/>
      <c r="T45" s="492" t="s">
        <v>394</v>
      </c>
      <c r="U45" s="1044" t="s">
        <v>393</v>
      </c>
      <c r="V45" s="1045"/>
      <c r="W45" s="1046"/>
      <c r="X45" s="492" t="s">
        <v>394</v>
      </c>
      <c r="Y45" s="1044" t="s">
        <v>393</v>
      </c>
      <c r="Z45" s="1045"/>
      <c r="AA45" s="1046"/>
      <c r="AB45" s="491" t="s">
        <v>394</v>
      </c>
      <c r="AC45" s="489" t="s">
        <v>391</v>
      </c>
      <c r="AD45" s="490" t="s">
        <v>392</v>
      </c>
      <c r="AE45" s="1049" t="s">
        <v>393</v>
      </c>
      <c r="AF45" s="1050"/>
      <c r="AG45" s="1051"/>
      <c r="AH45" s="491" t="s">
        <v>394</v>
      </c>
      <c r="AI45" s="1044" t="s">
        <v>393</v>
      </c>
      <c r="AJ45" s="1045"/>
      <c r="AK45" s="1046"/>
      <c r="AL45" s="491" t="s">
        <v>394</v>
      </c>
      <c r="AM45" s="1044" t="s">
        <v>393</v>
      </c>
      <c r="AN45" s="1045"/>
      <c r="AO45" s="1046"/>
      <c r="AP45" s="491" t="s">
        <v>394</v>
      </c>
      <c r="AQ45" s="489" t="s">
        <v>391</v>
      </c>
      <c r="AR45" s="490" t="s">
        <v>392</v>
      </c>
      <c r="AS45" s="1044" t="s">
        <v>393</v>
      </c>
      <c r="AT45" s="1045"/>
      <c r="AU45" s="1046"/>
      <c r="AV45" s="491" t="s">
        <v>394</v>
      </c>
      <c r="AW45" s="1044" t="s">
        <v>393</v>
      </c>
      <c r="AX45" s="1045"/>
      <c r="AY45" s="1046"/>
      <c r="AZ45" s="491" t="s">
        <v>394</v>
      </c>
      <c r="BA45" s="1044" t="s">
        <v>393</v>
      </c>
      <c r="BB45" s="1045"/>
      <c r="BC45" s="1046"/>
      <c r="BD45" s="491" t="s">
        <v>394</v>
      </c>
      <c r="BE45" s="489" t="s">
        <v>391</v>
      </c>
      <c r="BF45" s="490" t="s">
        <v>392</v>
      </c>
      <c r="BG45" s="1044" t="s">
        <v>393</v>
      </c>
      <c r="BH45" s="1045"/>
      <c r="BI45" s="1046"/>
      <c r="BJ45" s="491" t="s">
        <v>394</v>
      </c>
      <c r="BK45" s="1044" t="s">
        <v>393</v>
      </c>
      <c r="BL45" s="1045"/>
      <c r="BM45" s="1046"/>
      <c r="BN45" s="491" t="s">
        <v>394</v>
      </c>
      <c r="BO45" s="1044" t="s">
        <v>393</v>
      </c>
      <c r="BP45" s="1045"/>
      <c r="BQ45" s="1046"/>
      <c r="BR45" s="493" t="s">
        <v>394</v>
      </c>
      <c r="BS45" s="489" t="s">
        <v>391</v>
      </c>
      <c r="BT45" s="490" t="s">
        <v>392</v>
      </c>
      <c r="BU45" s="1044" t="s">
        <v>393</v>
      </c>
      <c r="BV45" s="1045"/>
      <c r="BW45" s="1046"/>
      <c r="BX45" s="491" t="s">
        <v>394</v>
      </c>
      <c r="BY45" s="1049" t="s">
        <v>393</v>
      </c>
      <c r="BZ45" s="1050"/>
      <c r="CA45" s="1051"/>
      <c r="CB45" s="492" t="s">
        <v>394</v>
      </c>
      <c r="CC45" s="1047" t="s">
        <v>393</v>
      </c>
      <c r="CD45" s="1047"/>
      <c r="CE45" s="1048"/>
      <c r="CF45" s="491" t="s">
        <v>394</v>
      </c>
      <c r="CG45" s="489" t="s">
        <v>391</v>
      </c>
      <c r="CH45" s="490" t="s">
        <v>392</v>
      </c>
      <c r="CI45" s="1044" t="s">
        <v>393</v>
      </c>
      <c r="CJ45" s="1045"/>
      <c r="CK45" s="1046"/>
      <c r="CL45" s="491" t="s">
        <v>394</v>
      </c>
      <c r="CM45" s="1044" t="s">
        <v>393</v>
      </c>
      <c r="CN45" s="1045"/>
      <c r="CO45" s="1046"/>
      <c r="CP45" s="494" t="s">
        <v>394</v>
      </c>
      <c r="CQ45" s="1049" t="s">
        <v>393</v>
      </c>
      <c r="CR45" s="1050"/>
      <c r="CS45" s="1051"/>
      <c r="CT45" s="493" t="s">
        <v>394</v>
      </c>
      <c r="CU45" s="489" t="s">
        <v>391</v>
      </c>
      <c r="CV45" s="490" t="s">
        <v>392</v>
      </c>
      <c r="CW45" s="1047" t="s">
        <v>393</v>
      </c>
      <c r="CX45" s="1047"/>
      <c r="CY45" s="1048"/>
      <c r="CZ45" s="491" t="s">
        <v>394</v>
      </c>
      <c r="DA45" s="1044" t="s">
        <v>393</v>
      </c>
      <c r="DB45" s="1045"/>
      <c r="DC45" s="1046"/>
      <c r="DD45" s="491" t="s">
        <v>394</v>
      </c>
      <c r="DE45" s="1049" t="s">
        <v>393</v>
      </c>
      <c r="DF45" s="1050"/>
      <c r="DG45" s="1051"/>
      <c r="DH45" s="493" t="s">
        <v>394</v>
      </c>
      <c r="DI45" s="489" t="s">
        <v>391</v>
      </c>
      <c r="DJ45" s="490" t="s">
        <v>392</v>
      </c>
      <c r="DK45" s="1049" t="s">
        <v>393</v>
      </c>
      <c r="DL45" s="1050"/>
      <c r="DM45" s="1051"/>
      <c r="DN45" s="492" t="s">
        <v>394</v>
      </c>
      <c r="DO45" s="1047" t="s">
        <v>393</v>
      </c>
      <c r="DP45" s="1047"/>
      <c r="DQ45" s="1048"/>
      <c r="DR45" s="491" t="s">
        <v>394</v>
      </c>
      <c r="DS45" s="1044" t="s">
        <v>393</v>
      </c>
      <c r="DT45" s="1045"/>
      <c r="DU45" s="1046"/>
      <c r="DV45" s="491" t="s">
        <v>394</v>
      </c>
      <c r="DW45" s="489" t="s">
        <v>391</v>
      </c>
      <c r="DX45" s="490" t="s">
        <v>392</v>
      </c>
      <c r="DY45" s="1044" t="s">
        <v>393</v>
      </c>
      <c r="DZ45" s="1045"/>
      <c r="EA45" s="1046"/>
      <c r="EB45" s="494" t="s">
        <v>394</v>
      </c>
      <c r="EC45" s="1044" t="s">
        <v>393</v>
      </c>
      <c r="ED45" s="1045"/>
      <c r="EE45" s="1046"/>
      <c r="EF45" s="494" t="s">
        <v>394</v>
      </c>
      <c r="EG45" s="1044" t="s">
        <v>393</v>
      </c>
      <c r="EH45" s="1045"/>
      <c r="EI45" s="1046"/>
      <c r="EJ45" s="491" t="s">
        <v>394</v>
      </c>
      <c r="EK45" s="489" t="s">
        <v>391</v>
      </c>
      <c r="EL45" s="490" t="s">
        <v>392</v>
      </c>
      <c r="EM45" s="1044" t="s">
        <v>393</v>
      </c>
      <c r="EN45" s="1045"/>
      <c r="EO45" s="1046"/>
      <c r="EP45" s="494" t="s">
        <v>394</v>
      </c>
      <c r="EQ45" s="1044" t="s">
        <v>393</v>
      </c>
      <c r="ER45" s="1045"/>
      <c r="ES45" s="1046"/>
      <c r="ET45" s="494" t="s">
        <v>394</v>
      </c>
      <c r="EU45" s="1044" t="s">
        <v>393</v>
      </c>
      <c r="EV45" s="1045"/>
      <c r="EW45" s="1046"/>
      <c r="EX45" s="493" t="s">
        <v>394</v>
      </c>
      <c r="EY45" s="489" t="s">
        <v>391</v>
      </c>
      <c r="EZ45" s="490" t="s">
        <v>392</v>
      </c>
      <c r="FA45" s="1044" t="s">
        <v>393</v>
      </c>
      <c r="FB45" s="1045"/>
      <c r="FC45" s="1046"/>
      <c r="FD45" s="494" t="s">
        <v>394</v>
      </c>
      <c r="FE45" s="1044" t="s">
        <v>393</v>
      </c>
      <c r="FF45" s="1045"/>
      <c r="FG45" s="1046"/>
      <c r="FH45" s="494" t="s">
        <v>394</v>
      </c>
      <c r="FI45" s="1044" t="s">
        <v>393</v>
      </c>
      <c r="FJ45" s="1045"/>
      <c r="FK45" s="1046"/>
      <c r="FL45" s="491" t="s">
        <v>394</v>
      </c>
      <c r="FM45" s="489" t="s">
        <v>391</v>
      </c>
      <c r="FN45" s="490" t="s">
        <v>392</v>
      </c>
      <c r="FO45" s="1044" t="s">
        <v>393</v>
      </c>
      <c r="FP45" s="1045"/>
      <c r="FQ45" s="1046"/>
      <c r="FR45" s="494" t="s">
        <v>394</v>
      </c>
      <c r="FS45" s="1044" t="s">
        <v>393</v>
      </c>
      <c r="FT45" s="1045"/>
      <c r="FU45" s="1046"/>
      <c r="FV45" s="494" t="s">
        <v>394</v>
      </c>
      <c r="FW45" s="1044" t="s">
        <v>393</v>
      </c>
      <c r="FX45" s="1045"/>
      <c r="FY45" s="1046"/>
      <c r="FZ45" s="491" t="s">
        <v>394</v>
      </c>
    </row>
    <row r="46" spans="1:182" ht="30" customHeight="1" x14ac:dyDescent="0.2">
      <c r="A46" s="495" t="s">
        <v>395</v>
      </c>
      <c r="B46" s="496" t="s">
        <v>396</v>
      </c>
      <c r="C46" s="497" t="s">
        <v>397</v>
      </c>
      <c r="D46" s="496" t="s">
        <v>398</v>
      </c>
      <c r="E46" s="496" t="s">
        <v>399</v>
      </c>
      <c r="F46" s="496" t="s">
        <v>400</v>
      </c>
      <c r="G46" s="496" t="s">
        <v>397</v>
      </c>
      <c r="H46" s="496" t="s">
        <v>398</v>
      </c>
      <c r="I46" s="496" t="s">
        <v>399</v>
      </c>
      <c r="J46" s="496" t="s">
        <v>400</v>
      </c>
      <c r="K46" s="496" t="s">
        <v>397</v>
      </c>
      <c r="L46" s="496" t="s">
        <v>398</v>
      </c>
      <c r="M46" s="496" t="s">
        <v>399</v>
      </c>
      <c r="N46" s="498" t="s">
        <v>400</v>
      </c>
      <c r="O46" s="495" t="s">
        <v>395</v>
      </c>
      <c r="P46" s="496" t="s">
        <v>396</v>
      </c>
      <c r="Q46" s="496" t="s">
        <v>397</v>
      </c>
      <c r="R46" s="496" t="s">
        <v>398</v>
      </c>
      <c r="S46" s="496" t="s">
        <v>399</v>
      </c>
      <c r="T46" s="496" t="s">
        <v>400</v>
      </c>
      <c r="U46" s="496" t="s">
        <v>397</v>
      </c>
      <c r="V46" s="496" t="s">
        <v>398</v>
      </c>
      <c r="W46" s="496" t="s">
        <v>399</v>
      </c>
      <c r="X46" s="496" t="s">
        <v>400</v>
      </c>
      <c r="Y46" s="496" t="s">
        <v>397</v>
      </c>
      <c r="Z46" s="496" t="s">
        <v>398</v>
      </c>
      <c r="AA46" s="496" t="s">
        <v>399</v>
      </c>
      <c r="AB46" s="498" t="s">
        <v>400</v>
      </c>
      <c r="AC46" s="495" t="s">
        <v>395</v>
      </c>
      <c r="AD46" s="496" t="s">
        <v>396</v>
      </c>
      <c r="AE46" s="499" t="s">
        <v>397</v>
      </c>
      <c r="AF46" s="499" t="s">
        <v>398</v>
      </c>
      <c r="AG46" s="499" t="s">
        <v>399</v>
      </c>
      <c r="AH46" s="496" t="s">
        <v>400</v>
      </c>
      <c r="AI46" s="496" t="s">
        <v>397</v>
      </c>
      <c r="AJ46" s="496" t="s">
        <v>398</v>
      </c>
      <c r="AK46" s="496" t="s">
        <v>399</v>
      </c>
      <c r="AL46" s="496" t="s">
        <v>400</v>
      </c>
      <c r="AM46" s="496" t="s">
        <v>397</v>
      </c>
      <c r="AN46" s="496" t="s">
        <v>398</v>
      </c>
      <c r="AO46" s="496" t="s">
        <v>399</v>
      </c>
      <c r="AP46" s="498" t="s">
        <v>400</v>
      </c>
      <c r="AQ46" s="495" t="s">
        <v>395</v>
      </c>
      <c r="AR46" s="496" t="s">
        <v>396</v>
      </c>
      <c r="AS46" s="496" t="s">
        <v>397</v>
      </c>
      <c r="AT46" s="496" t="s">
        <v>398</v>
      </c>
      <c r="AU46" s="496" t="s">
        <v>399</v>
      </c>
      <c r="AV46" s="496" t="s">
        <v>400</v>
      </c>
      <c r="AW46" s="496" t="s">
        <v>397</v>
      </c>
      <c r="AX46" s="496" t="s">
        <v>398</v>
      </c>
      <c r="AY46" s="496" t="s">
        <v>399</v>
      </c>
      <c r="AZ46" s="496" t="s">
        <v>400</v>
      </c>
      <c r="BA46" s="496" t="s">
        <v>397</v>
      </c>
      <c r="BB46" s="496" t="s">
        <v>398</v>
      </c>
      <c r="BC46" s="496" t="s">
        <v>399</v>
      </c>
      <c r="BD46" s="498" t="s">
        <v>400</v>
      </c>
      <c r="BE46" s="495" t="s">
        <v>395</v>
      </c>
      <c r="BF46" s="496" t="s">
        <v>396</v>
      </c>
      <c r="BG46" s="496" t="s">
        <v>397</v>
      </c>
      <c r="BH46" s="496" t="s">
        <v>398</v>
      </c>
      <c r="BI46" s="496" t="s">
        <v>399</v>
      </c>
      <c r="BJ46" s="496" t="s">
        <v>400</v>
      </c>
      <c r="BK46" s="496" t="s">
        <v>397</v>
      </c>
      <c r="BL46" s="496" t="s">
        <v>398</v>
      </c>
      <c r="BM46" s="496" t="s">
        <v>399</v>
      </c>
      <c r="BN46" s="496" t="s">
        <v>400</v>
      </c>
      <c r="BO46" s="496" t="s">
        <v>397</v>
      </c>
      <c r="BP46" s="496" t="s">
        <v>398</v>
      </c>
      <c r="BQ46" s="496" t="s">
        <v>399</v>
      </c>
      <c r="BR46" s="498" t="s">
        <v>400</v>
      </c>
      <c r="BS46" s="495" t="s">
        <v>395</v>
      </c>
      <c r="BT46" s="496" t="s">
        <v>396</v>
      </c>
      <c r="BU46" s="496" t="s">
        <v>397</v>
      </c>
      <c r="BV46" s="496" t="s">
        <v>398</v>
      </c>
      <c r="BW46" s="496" t="s">
        <v>399</v>
      </c>
      <c r="BX46" s="496" t="s">
        <v>400</v>
      </c>
      <c r="BY46" s="499" t="s">
        <v>397</v>
      </c>
      <c r="BZ46" s="499" t="s">
        <v>398</v>
      </c>
      <c r="CA46" s="499" t="s">
        <v>399</v>
      </c>
      <c r="CB46" s="496" t="s">
        <v>400</v>
      </c>
      <c r="CC46" s="499" t="s">
        <v>397</v>
      </c>
      <c r="CD46" s="499" t="s">
        <v>398</v>
      </c>
      <c r="CE46" s="499" t="s">
        <v>399</v>
      </c>
      <c r="CF46" s="498" t="s">
        <v>400</v>
      </c>
      <c r="CG46" s="495" t="s">
        <v>395</v>
      </c>
      <c r="CH46" s="496" t="s">
        <v>396</v>
      </c>
      <c r="CI46" s="496" t="s">
        <v>397</v>
      </c>
      <c r="CJ46" s="496" t="s">
        <v>398</v>
      </c>
      <c r="CK46" s="496" t="s">
        <v>399</v>
      </c>
      <c r="CL46" s="496" t="s">
        <v>400</v>
      </c>
      <c r="CM46" s="496" t="s">
        <v>397</v>
      </c>
      <c r="CN46" s="496" t="s">
        <v>398</v>
      </c>
      <c r="CO46" s="496" t="s">
        <v>399</v>
      </c>
      <c r="CP46" s="496" t="s">
        <v>400</v>
      </c>
      <c r="CQ46" s="499" t="s">
        <v>397</v>
      </c>
      <c r="CR46" s="499" t="s">
        <v>398</v>
      </c>
      <c r="CS46" s="499" t="s">
        <v>399</v>
      </c>
      <c r="CT46" s="498" t="s">
        <v>400</v>
      </c>
      <c r="CU46" s="495" t="s">
        <v>395</v>
      </c>
      <c r="CV46" s="496" t="s">
        <v>396</v>
      </c>
      <c r="CW46" s="499" t="s">
        <v>397</v>
      </c>
      <c r="CX46" s="499" t="s">
        <v>398</v>
      </c>
      <c r="CY46" s="499" t="s">
        <v>399</v>
      </c>
      <c r="CZ46" s="496" t="s">
        <v>400</v>
      </c>
      <c r="DA46" s="496" t="s">
        <v>397</v>
      </c>
      <c r="DB46" s="496" t="s">
        <v>398</v>
      </c>
      <c r="DC46" s="496" t="s">
        <v>399</v>
      </c>
      <c r="DD46" s="496" t="s">
        <v>400</v>
      </c>
      <c r="DE46" s="499" t="s">
        <v>397</v>
      </c>
      <c r="DF46" s="499" t="s">
        <v>398</v>
      </c>
      <c r="DG46" s="499" t="s">
        <v>399</v>
      </c>
      <c r="DH46" s="498" t="s">
        <v>400</v>
      </c>
      <c r="DI46" s="495" t="s">
        <v>395</v>
      </c>
      <c r="DJ46" s="496" t="s">
        <v>396</v>
      </c>
      <c r="DK46" s="499" t="s">
        <v>397</v>
      </c>
      <c r="DL46" s="499" t="s">
        <v>398</v>
      </c>
      <c r="DM46" s="499" t="s">
        <v>399</v>
      </c>
      <c r="DN46" s="496" t="s">
        <v>400</v>
      </c>
      <c r="DO46" s="499" t="s">
        <v>397</v>
      </c>
      <c r="DP46" s="499" t="s">
        <v>398</v>
      </c>
      <c r="DQ46" s="499" t="s">
        <v>399</v>
      </c>
      <c r="DR46" s="496" t="s">
        <v>400</v>
      </c>
      <c r="DS46" s="496" t="s">
        <v>397</v>
      </c>
      <c r="DT46" s="496" t="s">
        <v>398</v>
      </c>
      <c r="DU46" s="496" t="s">
        <v>399</v>
      </c>
      <c r="DV46" s="498" t="s">
        <v>400</v>
      </c>
      <c r="DW46" s="495" t="s">
        <v>395</v>
      </c>
      <c r="DX46" s="496" t="s">
        <v>396</v>
      </c>
      <c r="DY46" s="496" t="s">
        <v>397</v>
      </c>
      <c r="DZ46" s="496" t="s">
        <v>398</v>
      </c>
      <c r="EA46" s="496" t="s">
        <v>399</v>
      </c>
      <c r="EB46" s="496" t="s">
        <v>400</v>
      </c>
      <c r="EC46" s="496" t="s">
        <v>397</v>
      </c>
      <c r="ED46" s="496" t="s">
        <v>398</v>
      </c>
      <c r="EE46" s="496" t="s">
        <v>399</v>
      </c>
      <c r="EF46" s="496" t="s">
        <v>400</v>
      </c>
      <c r="EG46" s="496" t="s">
        <v>397</v>
      </c>
      <c r="EH46" s="496" t="s">
        <v>398</v>
      </c>
      <c r="EI46" s="496" t="s">
        <v>399</v>
      </c>
      <c r="EJ46" s="498" t="s">
        <v>400</v>
      </c>
      <c r="EK46" s="495" t="s">
        <v>395</v>
      </c>
      <c r="EL46" s="496" t="s">
        <v>396</v>
      </c>
      <c r="EM46" s="496" t="s">
        <v>397</v>
      </c>
      <c r="EN46" s="496" t="s">
        <v>398</v>
      </c>
      <c r="EO46" s="496" t="s">
        <v>399</v>
      </c>
      <c r="EP46" s="496" t="s">
        <v>400</v>
      </c>
      <c r="EQ46" s="496" t="s">
        <v>397</v>
      </c>
      <c r="ER46" s="496" t="s">
        <v>398</v>
      </c>
      <c r="ES46" s="496" t="s">
        <v>399</v>
      </c>
      <c r="ET46" s="496" t="s">
        <v>400</v>
      </c>
      <c r="EU46" s="496" t="s">
        <v>397</v>
      </c>
      <c r="EV46" s="496" t="s">
        <v>398</v>
      </c>
      <c r="EW46" s="496" t="s">
        <v>399</v>
      </c>
      <c r="EX46" s="498" t="s">
        <v>400</v>
      </c>
      <c r="EY46" s="495" t="s">
        <v>395</v>
      </c>
      <c r="EZ46" s="496" t="s">
        <v>396</v>
      </c>
      <c r="FA46" s="496" t="s">
        <v>397</v>
      </c>
      <c r="FB46" s="496" t="s">
        <v>398</v>
      </c>
      <c r="FC46" s="496" t="s">
        <v>399</v>
      </c>
      <c r="FD46" s="496" t="s">
        <v>400</v>
      </c>
      <c r="FE46" s="496" t="s">
        <v>397</v>
      </c>
      <c r="FF46" s="496" t="s">
        <v>398</v>
      </c>
      <c r="FG46" s="496" t="s">
        <v>399</v>
      </c>
      <c r="FH46" s="496" t="s">
        <v>400</v>
      </c>
      <c r="FI46" s="496" t="s">
        <v>397</v>
      </c>
      <c r="FJ46" s="496" t="s">
        <v>398</v>
      </c>
      <c r="FK46" s="496" t="s">
        <v>399</v>
      </c>
      <c r="FL46" s="498" t="s">
        <v>400</v>
      </c>
      <c r="FM46" s="495" t="s">
        <v>395</v>
      </c>
      <c r="FN46" s="496" t="s">
        <v>396</v>
      </c>
      <c r="FO46" s="496" t="s">
        <v>397</v>
      </c>
      <c r="FP46" s="496" t="s">
        <v>398</v>
      </c>
      <c r="FQ46" s="496" t="s">
        <v>399</v>
      </c>
      <c r="FR46" s="496" t="s">
        <v>400</v>
      </c>
      <c r="FS46" s="496" t="s">
        <v>397</v>
      </c>
      <c r="FT46" s="496" t="s">
        <v>398</v>
      </c>
      <c r="FU46" s="496" t="s">
        <v>399</v>
      </c>
      <c r="FV46" s="496" t="s">
        <v>400</v>
      </c>
      <c r="FW46" s="496" t="s">
        <v>397</v>
      </c>
      <c r="FX46" s="496" t="s">
        <v>398</v>
      </c>
      <c r="FY46" s="496" t="s">
        <v>399</v>
      </c>
      <c r="FZ46" s="498" t="s">
        <v>400</v>
      </c>
    </row>
    <row r="47" spans="1:182" ht="19.350000000000001" customHeight="1" x14ac:dyDescent="0.2">
      <c r="A47" s="303" t="s">
        <v>119</v>
      </c>
      <c r="B47" s="507" t="s">
        <v>270</v>
      </c>
      <c r="C47" s="510">
        <f>'Combustion (Proposed)'!L18</f>
        <v>5.2855255169458243E-8</v>
      </c>
      <c r="D47" s="510">
        <f>'Combustion (Proposed)'!M18</f>
        <v>2.3150601764222709E-7</v>
      </c>
      <c r="E47" s="510">
        <f>'Combustion (Proposed)'!N18</f>
        <v>2.3150601764222709E-7</v>
      </c>
      <c r="F47" s="263"/>
      <c r="G47" s="263"/>
      <c r="H47" s="263"/>
      <c r="I47" s="263"/>
      <c r="J47" s="263"/>
      <c r="K47" s="263"/>
      <c r="L47" s="263"/>
      <c r="M47" s="263"/>
      <c r="N47" s="508"/>
      <c r="O47" s="303" t="s">
        <v>119</v>
      </c>
      <c r="P47" s="507" t="s">
        <v>270</v>
      </c>
      <c r="Q47" s="179">
        <f>'Combustion (Proposed)'!O83</f>
        <v>2.1681999999999998E-7</v>
      </c>
      <c r="R47" s="179">
        <f>'Combustion (Proposed)'!P83</f>
        <v>9.4967159999999988E-7</v>
      </c>
      <c r="S47" s="179">
        <f>'Combustion (Proposed)'!Q83</f>
        <v>9.4967159999999988E-7</v>
      </c>
      <c r="T47" s="263"/>
      <c r="U47" s="263"/>
      <c r="V47" s="263"/>
      <c r="W47" s="263"/>
      <c r="X47" s="263"/>
      <c r="Y47" s="179"/>
      <c r="Z47" s="179"/>
      <c r="AA47" s="179"/>
      <c r="AB47" s="509"/>
      <c r="AC47" s="303" t="s">
        <v>119</v>
      </c>
      <c r="AD47" s="507" t="s">
        <v>270</v>
      </c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509"/>
      <c r="AQ47" s="303" t="s">
        <v>119</v>
      </c>
      <c r="AR47" s="507" t="s">
        <v>270</v>
      </c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509"/>
      <c r="BE47" s="303" t="s">
        <v>119</v>
      </c>
      <c r="BF47" s="507" t="s">
        <v>270</v>
      </c>
      <c r="BG47" s="179"/>
      <c r="BH47" s="179"/>
      <c r="BI47" s="179"/>
      <c r="BJ47" s="179"/>
      <c r="BK47" s="179">
        <f>'Combustion (Proposed)'!O151</f>
        <v>1.2086666666666668E-6</v>
      </c>
      <c r="BL47" s="179">
        <f>'Combustion (Proposed)'!P151</f>
        <v>5.2939600000000002E-6</v>
      </c>
      <c r="BM47" s="179">
        <f>'Combustion (Proposed)'!Q151</f>
        <v>5.2939600000000002E-6</v>
      </c>
      <c r="BN47" s="179"/>
      <c r="BO47" s="179"/>
      <c r="BP47" s="179"/>
      <c r="BQ47" s="179"/>
      <c r="BR47" s="509"/>
      <c r="BS47" s="303" t="s">
        <v>119</v>
      </c>
      <c r="BT47" s="507" t="s">
        <v>270</v>
      </c>
      <c r="BU47" s="179"/>
      <c r="BV47" s="179"/>
      <c r="BW47" s="179"/>
      <c r="BX47" s="179"/>
      <c r="BY47" s="179"/>
      <c r="BZ47" s="179"/>
      <c r="CA47" s="179"/>
      <c r="CB47" s="179"/>
      <c r="CC47" s="179"/>
      <c r="CD47" s="179"/>
      <c r="CE47" s="179"/>
      <c r="CF47" s="509"/>
      <c r="CG47" s="303" t="s">
        <v>119</v>
      </c>
      <c r="CH47" s="507" t="s">
        <v>270</v>
      </c>
      <c r="CI47" s="179"/>
      <c r="CJ47" s="179"/>
      <c r="CK47" s="179"/>
      <c r="CL47" s="179"/>
      <c r="CM47" s="179"/>
      <c r="CN47" s="179"/>
      <c r="CO47" s="179"/>
      <c r="CP47" s="179"/>
      <c r="CQ47" s="179"/>
      <c r="CR47" s="179"/>
      <c r="CS47" s="179"/>
      <c r="CT47" s="509"/>
      <c r="CU47" s="303" t="s">
        <v>119</v>
      </c>
      <c r="CV47" s="507" t="s">
        <v>270</v>
      </c>
      <c r="CW47" s="179"/>
      <c r="CX47" s="179"/>
      <c r="CY47" s="179"/>
      <c r="CZ47" s="179"/>
      <c r="DA47" s="179"/>
      <c r="DB47" s="179"/>
      <c r="DC47" s="179"/>
      <c r="DD47" s="179"/>
      <c r="DE47" s="179"/>
      <c r="DF47" s="179"/>
      <c r="DG47" s="179"/>
      <c r="DH47" s="509"/>
      <c r="DI47" s="303" t="s">
        <v>119</v>
      </c>
      <c r="DJ47" s="507" t="s">
        <v>270</v>
      </c>
      <c r="DK47" s="179"/>
      <c r="DL47" s="179"/>
      <c r="DM47" s="179"/>
      <c r="DN47" s="179"/>
      <c r="DO47" s="179"/>
      <c r="DP47" s="179"/>
      <c r="DQ47" s="179"/>
      <c r="DR47" s="179"/>
      <c r="DS47" s="179"/>
      <c r="DT47" s="179"/>
      <c r="DU47" s="179"/>
      <c r="DV47" s="509"/>
      <c r="DW47" s="303" t="s">
        <v>119</v>
      </c>
      <c r="DX47" s="507" t="s">
        <v>270</v>
      </c>
      <c r="DY47" s="179"/>
      <c r="DZ47" s="179"/>
      <c r="EA47" s="179"/>
      <c r="EB47" s="179"/>
      <c r="EC47" s="179"/>
      <c r="ED47" s="179"/>
      <c r="EE47" s="179"/>
      <c r="EF47" s="179"/>
      <c r="EG47" s="179"/>
      <c r="EH47" s="179"/>
      <c r="EI47" s="179"/>
      <c r="EJ47" s="509"/>
      <c r="EK47" s="303" t="s">
        <v>119</v>
      </c>
      <c r="EL47" s="507" t="s">
        <v>270</v>
      </c>
      <c r="EM47" s="179"/>
      <c r="EN47" s="179"/>
      <c r="EO47" s="179"/>
      <c r="EP47" s="510"/>
      <c r="EQ47" s="179"/>
      <c r="ER47" s="179"/>
      <c r="ES47" s="179"/>
      <c r="ET47" s="510"/>
      <c r="EU47" s="179"/>
      <c r="EV47" s="179"/>
      <c r="EW47" s="179"/>
      <c r="EX47" s="509"/>
      <c r="EY47" s="303" t="s">
        <v>119</v>
      </c>
      <c r="EZ47" s="507" t="s">
        <v>270</v>
      </c>
      <c r="FA47" s="179"/>
      <c r="FB47" s="179"/>
      <c r="FC47" s="179"/>
      <c r="FD47" s="510"/>
      <c r="FE47" s="179"/>
      <c r="FF47" s="179"/>
      <c r="FG47" s="179"/>
      <c r="FH47" s="510"/>
      <c r="FI47" s="179"/>
      <c r="FJ47" s="179"/>
      <c r="FK47" s="179"/>
      <c r="FL47" s="511"/>
      <c r="FM47" s="303" t="s">
        <v>119</v>
      </c>
      <c r="FN47" s="507" t="s">
        <v>270</v>
      </c>
      <c r="FO47" s="179"/>
      <c r="FP47" s="179"/>
      <c r="FQ47" s="179"/>
      <c r="FR47" s="510"/>
      <c r="FS47" s="179"/>
      <c r="FT47" s="179"/>
      <c r="FU47" s="179"/>
      <c r="FV47" s="510"/>
      <c r="FW47" s="179"/>
      <c r="FX47" s="179"/>
      <c r="FY47" s="179"/>
      <c r="FZ47" s="511"/>
    </row>
    <row r="48" spans="1:182" ht="19.350000000000001" customHeight="1" x14ac:dyDescent="0.2">
      <c r="A48" s="303" t="s">
        <v>120</v>
      </c>
      <c r="B48" s="507" t="s">
        <v>409</v>
      </c>
      <c r="C48" s="510">
        <f>'Combustion (Proposed)'!L19</f>
        <v>8.0711403164172727E-8</v>
      </c>
      <c r="D48" s="510">
        <f>'Combustion (Proposed)'!M19</f>
        <v>3.5351594585907655E-7</v>
      </c>
      <c r="E48" s="510">
        <f>'Combustion (Proposed)'!N19</f>
        <v>3.5351594585907655E-7</v>
      </c>
      <c r="F48" s="263"/>
      <c r="G48" s="263"/>
      <c r="H48" s="263"/>
      <c r="I48" s="263"/>
      <c r="J48" s="263"/>
      <c r="K48" s="263"/>
      <c r="L48" s="263"/>
      <c r="M48" s="263"/>
      <c r="N48" s="508"/>
      <c r="O48" s="303" t="s">
        <v>120</v>
      </c>
      <c r="P48" s="507" t="s">
        <v>409</v>
      </c>
      <c r="Q48" s="179">
        <f>'Combustion (Proposed)'!O84</f>
        <v>3.3108999999999998E-7</v>
      </c>
      <c r="R48" s="179">
        <f>'Combustion (Proposed)'!P84</f>
        <v>1.4501741999999999E-6</v>
      </c>
      <c r="S48" s="179">
        <f>'Combustion (Proposed)'!Q84</f>
        <v>1.4501741999999999E-6</v>
      </c>
      <c r="T48" s="263"/>
      <c r="U48" s="263"/>
      <c r="V48" s="263"/>
      <c r="W48" s="263"/>
      <c r="X48" s="263"/>
      <c r="Y48" s="179"/>
      <c r="Z48" s="179"/>
      <c r="AA48" s="179"/>
      <c r="AB48" s="509"/>
      <c r="AC48" s="303" t="s">
        <v>120</v>
      </c>
      <c r="AD48" s="507" t="s">
        <v>409</v>
      </c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509"/>
      <c r="AQ48" s="303" t="s">
        <v>120</v>
      </c>
      <c r="AR48" s="507" t="s">
        <v>409</v>
      </c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509"/>
      <c r="BE48" s="303" t="s">
        <v>120</v>
      </c>
      <c r="BF48" s="507" t="s">
        <v>409</v>
      </c>
      <c r="BG48" s="179"/>
      <c r="BH48" s="179"/>
      <c r="BI48" s="179"/>
      <c r="BJ48" s="179"/>
      <c r="BK48" s="179">
        <f>'Combustion (Proposed)'!O152</f>
        <v>1.8456666666666668E-6</v>
      </c>
      <c r="BL48" s="179">
        <f>'Combustion (Proposed)'!P152</f>
        <v>8.0840200000000006E-6</v>
      </c>
      <c r="BM48" s="179">
        <f>'Combustion (Proposed)'!Q152</f>
        <v>8.0840200000000006E-6</v>
      </c>
      <c r="BN48" s="179"/>
      <c r="BO48" s="179"/>
      <c r="BP48" s="179"/>
      <c r="BQ48" s="179"/>
      <c r="BR48" s="509"/>
      <c r="BS48" s="303" t="s">
        <v>120</v>
      </c>
      <c r="BT48" s="507" t="s">
        <v>409</v>
      </c>
      <c r="BU48" s="179"/>
      <c r="BV48" s="179"/>
      <c r="BW48" s="179"/>
      <c r="BX48" s="179"/>
      <c r="BY48" s="179"/>
      <c r="BZ48" s="179"/>
      <c r="CA48" s="179"/>
      <c r="CB48" s="179"/>
      <c r="CC48" s="179"/>
      <c r="CD48" s="179"/>
      <c r="CE48" s="179"/>
      <c r="CF48" s="509"/>
      <c r="CG48" s="303" t="s">
        <v>120</v>
      </c>
      <c r="CH48" s="507" t="s">
        <v>409</v>
      </c>
      <c r="CI48" s="179"/>
      <c r="CJ48" s="179"/>
      <c r="CK48" s="179"/>
      <c r="CL48" s="179"/>
      <c r="CM48" s="179"/>
      <c r="CN48" s="179"/>
      <c r="CO48" s="179"/>
      <c r="CP48" s="179"/>
      <c r="CQ48" s="179"/>
      <c r="CR48" s="179"/>
      <c r="CS48" s="179"/>
      <c r="CT48" s="509"/>
      <c r="CU48" s="303" t="s">
        <v>120</v>
      </c>
      <c r="CV48" s="507" t="s">
        <v>409</v>
      </c>
      <c r="CW48" s="179"/>
      <c r="CX48" s="179"/>
      <c r="CY48" s="179"/>
      <c r="CZ48" s="179"/>
      <c r="DA48" s="179"/>
      <c r="DB48" s="179"/>
      <c r="DC48" s="179"/>
      <c r="DD48" s="179"/>
      <c r="DE48" s="179"/>
      <c r="DF48" s="179"/>
      <c r="DG48" s="179"/>
      <c r="DH48" s="509"/>
      <c r="DI48" s="303" t="s">
        <v>120</v>
      </c>
      <c r="DJ48" s="507" t="s">
        <v>409</v>
      </c>
      <c r="DK48" s="179"/>
      <c r="DL48" s="179"/>
      <c r="DM48" s="179"/>
      <c r="DN48" s="179"/>
      <c r="DO48" s="179"/>
      <c r="DP48" s="179"/>
      <c r="DQ48" s="179"/>
      <c r="DR48" s="179"/>
      <c r="DS48" s="179"/>
      <c r="DT48" s="179"/>
      <c r="DU48" s="179"/>
      <c r="DV48" s="509"/>
      <c r="DW48" s="303" t="s">
        <v>120</v>
      </c>
      <c r="DX48" s="507" t="s">
        <v>409</v>
      </c>
      <c r="DY48" s="179"/>
      <c r="DZ48" s="179"/>
      <c r="EA48" s="179"/>
      <c r="EB48" s="179"/>
      <c r="EC48" s="179"/>
      <c r="ED48" s="179"/>
      <c r="EE48" s="179"/>
      <c r="EF48" s="179"/>
      <c r="EG48" s="179"/>
      <c r="EH48" s="179"/>
      <c r="EI48" s="179"/>
      <c r="EJ48" s="509"/>
      <c r="EK48" s="303" t="s">
        <v>120</v>
      </c>
      <c r="EL48" s="507" t="s">
        <v>409</v>
      </c>
      <c r="EM48" s="179"/>
      <c r="EN48" s="179"/>
      <c r="EO48" s="179"/>
      <c r="EP48" s="510"/>
      <c r="EQ48" s="179"/>
      <c r="ER48" s="179"/>
      <c r="ES48" s="179"/>
      <c r="ET48" s="510"/>
      <c r="EU48" s="179"/>
      <c r="EV48" s="179"/>
      <c r="EW48" s="179"/>
      <c r="EX48" s="509"/>
      <c r="EY48" s="303" t="s">
        <v>120</v>
      </c>
      <c r="EZ48" s="507" t="s">
        <v>409</v>
      </c>
      <c r="FA48" s="179"/>
      <c r="FB48" s="179"/>
      <c r="FC48" s="179"/>
      <c r="FD48" s="510"/>
      <c r="FE48" s="179"/>
      <c r="FF48" s="179"/>
      <c r="FG48" s="179"/>
      <c r="FH48" s="510"/>
      <c r="FI48" s="179"/>
      <c r="FJ48" s="179"/>
      <c r="FK48" s="179"/>
      <c r="FL48" s="511"/>
      <c r="FM48" s="303" t="s">
        <v>120</v>
      </c>
      <c r="FN48" s="507" t="s">
        <v>409</v>
      </c>
      <c r="FO48" s="179"/>
      <c r="FP48" s="179"/>
      <c r="FQ48" s="179"/>
      <c r="FR48" s="510"/>
      <c r="FS48" s="179"/>
      <c r="FT48" s="179"/>
      <c r="FU48" s="179"/>
      <c r="FV48" s="510"/>
      <c r="FW48" s="179"/>
      <c r="FX48" s="179"/>
      <c r="FY48" s="179"/>
      <c r="FZ48" s="511"/>
    </row>
    <row r="49" spans="1:182" ht="19.350000000000001" customHeight="1" x14ac:dyDescent="0.2">
      <c r="A49" s="303" t="s">
        <v>121</v>
      </c>
      <c r="B49" s="507" t="s">
        <v>410</v>
      </c>
      <c r="C49" s="510">
        <f>'Combustion (Proposed)'!L20</f>
        <v>5.2855255169458243E-8</v>
      </c>
      <c r="D49" s="510">
        <f>'Combustion (Proposed)'!M20</f>
        <v>2.3150601764222709E-7</v>
      </c>
      <c r="E49" s="510">
        <f>'Combustion (Proposed)'!N20</f>
        <v>2.3150601764222709E-7</v>
      </c>
      <c r="F49" s="263"/>
      <c r="G49" s="263"/>
      <c r="H49" s="263"/>
      <c r="I49" s="263"/>
      <c r="J49" s="263"/>
      <c r="K49" s="263"/>
      <c r="L49" s="263"/>
      <c r="M49" s="263"/>
      <c r="N49" s="508"/>
      <c r="O49" s="303" t="s">
        <v>121</v>
      </c>
      <c r="P49" s="507" t="s">
        <v>410</v>
      </c>
      <c r="Q49" s="179">
        <f>'Combustion (Proposed)'!O85</f>
        <v>2.1681999999999998E-7</v>
      </c>
      <c r="R49" s="179">
        <f>'Combustion (Proposed)'!P85</f>
        <v>9.4967159999999988E-7</v>
      </c>
      <c r="S49" s="179">
        <f>'Combustion (Proposed)'!Q85</f>
        <v>9.4967159999999988E-7</v>
      </c>
      <c r="T49" s="263"/>
      <c r="U49" s="263"/>
      <c r="V49" s="263"/>
      <c r="W49" s="263"/>
      <c r="X49" s="263"/>
      <c r="Y49" s="179"/>
      <c r="Z49" s="179"/>
      <c r="AA49" s="179"/>
      <c r="AB49" s="509"/>
      <c r="AC49" s="303" t="s">
        <v>121</v>
      </c>
      <c r="AD49" s="507" t="s">
        <v>410</v>
      </c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509"/>
      <c r="AQ49" s="303" t="s">
        <v>121</v>
      </c>
      <c r="AR49" s="507" t="s">
        <v>410</v>
      </c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509"/>
      <c r="BE49" s="303" t="s">
        <v>121</v>
      </c>
      <c r="BF49" s="507" t="s">
        <v>410</v>
      </c>
      <c r="BG49" s="179"/>
      <c r="BH49" s="179"/>
      <c r="BI49" s="179"/>
      <c r="BJ49" s="179"/>
      <c r="BK49" s="179">
        <f>'Combustion (Proposed)'!O153</f>
        <v>1.2086666666666668E-6</v>
      </c>
      <c r="BL49" s="179">
        <f>'Combustion (Proposed)'!P153</f>
        <v>5.2939600000000002E-6</v>
      </c>
      <c r="BM49" s="179">
        <f>'Combustion (Proposed)'!Q153</f>
        <v>5.2939600000000002E-6</v>
      </c>
      <c r="BN49" s="179"/>
      <c r="BO49" s="179"/>
      <c r="BP49" s="179"/>
      <c r="BQ49" s="179"/>
      <c r="BR49" s="509"/>
      <c r="BS49" s="303" t="s">
        <v>121</v>
      </c>
      <c r="BT49" s="507" t="s">
        <v>410</v>
      </c>
      <c r="BU49" s="179"/>
      <c r="BV49" s="179"/>
      <c r="BW49" s="179"/>
      <c r="BX49" s="179"/>
      <c r="BY49" s="179"/>
      <c r="BZ49" s="179"/>
      <c r="CA49" s="179"/>
      <c r="CB49" s="179"/>
      <c r="CC49" s="179"/>
      <c r="CD49" s="179"/>
      <c r="CE49" s="179"/>
      <c r="CF49" s="509"/>
      <c r="CG49" s="303" t="s">
        <v>121</v>
      </c>
      <c r="CH49" s="507" t="s">
        <v>410</v>
      </c>
      <c r="CI49" s="179"/>
      <c r="CJ49" s="179"/>
      <c r="CK49" s="179"/>
      <c r="CL49" s="179"/>
      <c r="CM49" s="179"/>
      <c r="CN49" s="179"/>
      <c r="CO49" s="179"/>
      <c r="CP49" s="179"/>
      <c r="CQ49" s="179"/>
      <c r="CR49" s="179"/>
      <c r="CS49" s="179"/>
      <c r="CT49" s="509"/>
      <c r="CU49" s="303" t="s">
        <v>121</v>
      </c>
      <c r="CV49" s="507" t="s">
        <v>410</v>
      </c>
      <c r="CW49" s="179"/>
      <c r="CX49" s="179"/>
      <c r="CY49" s="179"/>
      <c r="CZ49" s="179"/>
      <c r="DA49" s="179"/>
      <c r="DB49" s="179"/>
      <c r="DC49" s="179"/>
      <c r="DD49" s="179"/>
      <c r="DE49" s="179"/>
      <c r="DF49" s="179"/>
      <c r="DG49" s="179"/>
      <c r="DH49" s="509"/>
      <c r="DI49" s="303" t="s">
        <v>121</v>
      </c>
      <c r="DJ49" s="507" t="s">
        <v>410</v>
      </c>
      <c r="DK49" s="179"/>
      <c r="DL49" s="179"/>
      <c r="DM49" s="179"/>
      <c r="DN49" s="179"/>
      <c r="DO49" s="179"/>
      <c r="DP49" s="179"/>
      <c r="DQ49" s="179"/>
      <c r="DR49" s="179"/>
      <c r="DS49" s="179"/>
      <c r="DT49" s="179"/>
      <c r="DU49" s="179"/>
      <c r="DV49" s="509"/>
      <c r="DW49" s="303" t="s">
        <v>121</v>
      </c>
      <c r="DX49" s="507" t="s">
        <v>410</v>
      </c>
      <c r="DY49" s="179"/>
      <c r="DZ49" s="179"/>
      <c r="EA49" s="179"/>
      <c r="EB49" s="179"/>
      <c r="EC49" s="179"/>
      <c r="ED49" s="179"/>
      <c r="EE49" s="179"/>
      <c r="EF49" s="179"/>
      <c r="EG49" s="179"/>
      <c r="EH49" s="179"/>
      <c r="EI49" s="179"/>
      <c r="EJ49" s="509"/>
      <c r="EK49" s="303" t="s">
        <v>121</v>
      </c>
      <c r="EL49" s="507" t="s">
        <v>410</v>
      </c>
      <c r="EM49" s="179"/>
      <c r="EN49" s="179"/>
      <c r="EO49" s="179"/>
      <c r="EP49" s="510"/>
      <c r="EQ49" s="179"/>
      <c r="ER49" s="179"/>
      <c r="ES49" s="179"/>
      <c r="ET49" s="510"/>
      <c r="EU49" s="179"/>
      <c r="EV49" s="179"/>
      <c r="EW49" s="179"/>
      <c r="EX49" s="509"/>
      <c r="EY49" s="303" t="s">
        <v>121</v>
      </c>
      <c r="EZ49" s="507" t="s">
        <v>410</v>
      </c>
      <c r="FA49" s="179"/>
      <c r="FB49" s="179"/>
      <c r="FC49" s="179"/>
      <c r="FD49" s="510"/>
      <c r="FE49" s="179"/>
      <c r="FF49" s="179"/>
      <c r="FG49" s="179"/>
      <c r="FH49" s="510"/>
      <c r="FI49" s="179"/>
      <c r="FJ49" s="179"/>
      <c r="FK49" s="179"/>
      <c r="FL49" s="511"/>
      <c r="FM49" s="303" t="s">
        <v>121</v>
      </c>
      <c r="FN49" s="507" t="s">
        <v>410</v>
      </c>
      <c r="FO49" s="179"/>
      <c r="FP49" s="179"/>
      <c r="FQ49" s="179"/>
      <c r="FR49" s="510"/>
      <c r="FS49" s="179"/>
      <c r="FT49" s="179"/>
      <c r="FU49" s="179"/>
      <c r="FV49" s="510"/>
      <c r="FW49" s="179"/>
      <c r="FX49" s="179"/>
      <c r="FY49" s="179"/>
      <c r="FZ49" s="511"/>
    </row>
    <row r="50" spans="1:182" ht="19.350000000000001" customHeight="1" x14ac:dyDescent="0.2">
      <c r="A50" s="303" t="s">
        <v>122</v>
      </c>
      <c r="B50" s="507" t="s">
        <v>273</v>
      </c>
      <c r="C50" s="510">
        <f>'Combustion (Proposed)'!L21</f>
        <v>8.4996964394128803E-8</v>
      </c>
      <c r="D50" s="510">
        <f>'Combustion (Proposed)'!M21</f>
        <v>3.7228670404628417E-7</v>
      </c>
      <c r="E50" s="510">
        <f>'Combustion (Proposed)'!N21</f>
        <v>3.7228670404628417E-7</v>
      </c>
      <c r="F50" s="263"/>
      <c r="G50" s="263"/>
      <c r="H50" s="263"/>
      <c r="I50" s="263"/>
      <c r="J50" s="263"/>
      <c r="K50" s="263"/>
      <c r="L50" s="263"/>
      <c r="M50" s="263"/>
      <c r="N50" s="508"/>
      <c r="O50" s="303" t="s">
        <v>122</v>
      </c>
      <c r="P50" s="507" t="s">
        <v>273</v>
      </c>
      <c r="Q50" s="179">
        <f>'Combustion (Proposed)'!O86</f>
        <v>3.4867000000000001E-7</v>
      </c>
      <c r="R50" s="179">
        <f>'Combustion (Proposed)'!P86</f>
        <v>1.5271746000000002E-6</v>
      </c>
      <c r="S50" s="179">
        <f>'Combustion (Proposed)'!Q86</f>
        <v>1.5271746000000002E-6</v>
      </c>
      <c r="T50" s="263"/>
      <c r="U50" s="263"/>
      <c r="V50" s="263"/>
      <c r="W50" s="263"/>
      <c r="X50" s="263"/>
      <c r="Y50" s="179"/>
      <c r="Z50" s="179"/>
      <c r="AA50" s="179"/>
      <c r="AB50" s="509"/>
      <c r="AC50" s="303" t="s">
        <v>122</v>
      </c>
      <c r="AD50" s="507" t="s">
        <v>273</v>
      </c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509"/>
      <c r="AQ50" s="303" t="s">
        <v>122</v>
      </c>
      <c r="AR50" s="507" t="s">
        <v>273</v>
      </c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509"/>
      <c r="BE50" s="303" t="s">
        <v>122</v>
      </c>
      <c r="BF50" s="507" t="s">
        <v>273</v>
      </c>
      <c r="BG50" s="179"/>
      <c r="BH50" s="179"/>
      <c r="BI50" s="179"/>
      <c r="BJ50" s="179"/>
      <c r="BK50" s="179">
        <f>'Combustion (Proposed)'!O154</f>
        <v>1.9436666666666671E-6</v>
      </c>
      <c r="BL50" s="179">
        <f>'Combustion (Proposed)'!P154</f>
        <v>8.5132600000000009E-6</v>
      </c>
      <c r="BM50" s="179">
        <f>'Combustion (Proposed)'!Q154</f>
        <v>8.5132600000000009E-6</v>
      </c>
      <c r="BN50" s="179"/>
      <c r="BO50" s="179"/>
      <c r="BP50" s="179"/>
      <c r="BQ50" s="179"/>
      <c r="BR50" s="509"/>
      <c r="BS50" s="303" t="s">
        <v>122</v>
      </c>
      <c r="BT50" s="507" t="s">
        <v>273</v>
      </c>
      <c r="BU50" s="179"/>
      <c r="BV50" s="179"/>
      <c r="BW50" s="179"/>
      <c r="BX50" s="179"/>
      <c r="BY50" s="179"/>
      <c r="BZ50" s="179"/>
      <c r="CA50" s="179"/>
      <c r="CB50" s="179"/>
      <c r="CC50" s="179"/>
      <c r="CD50" s="179"/>
      <c r="CE50" s="179"/>
      <c r="CF50" s="509"/>
      <c r="CG50" s="303" t="s">
        <v>122</v>
      </c>
      <c r="CH50" s="507" t="s">
        <v>273</v>
      </c>
      <c r="CI50" s="179"/>
      <c r="CJ50" s="179"/>
      <c r="CK50" s="179"/>
      <c r="CL50" s="179"/>
      <c r="CM50" s="179"/>
      <c r="CN50" s="179"/>
      <c r="CO50" s="179"/>
      <c r="CP50" s="179"/>
      <c r="CQ50" s="179"/>
      <c r="CR50" s="179"/>
      <c r="CS50" s="179"/>
      <c r="CT50" s="509"/>
      <c r="CU50" s="303" t="s">
        <v>122</v>
      </c>
      <c r="CV50" s="507" t="s">
        <v>273</v>
      </c>
      <c r="CW50" s="179"/>
      <c r="CX50" s="179"/>
      <c r="CY50" s="179"/>
      <c r="CZ50" s="179"/>
      <c r="DA50" s="179"/>
      <c r="DB50" s="179"/>
      <c r="DC50" s="179"/>
      <c r="DD50" s="179"/>
      <c r="DE50" s="179"/>
      <c r="DF50" s="179"/>
      <c r="DG50" s="179"/>
      <c r="DH50" s="509"/>
      <c r="DI50" s="303" t="s">
        <v>122</v>
      </c>
      <c r="DJ50" s="507" t="s">
        <v>273</v>
      </c>
      <c r="DK50" s="179"/>
      <c r="DL50" s="179"/>
      <c r="DM50" s="179"/>
      <c r="DN50" s="179"/>
      <c r="DO50" s="179"/>
      <c r="DP50" s="179"/>
      <c r="DQ50" s="179"/>
      <c r="DR50" s="179"/>
      <c r="DS50" s="179"/>
      <c r="DT50" s="179"/>
      <c r="DU50" s="179"/>
      <c r="DV50" s="509"/>
      <c r="DW50" s="303" t="s">
        <v>122</v>
      </c>
      <c r="DX50" s="507" t="s">
        <v>273</v>
      </c>
      <c r="DY50" s="179"/>
      <c r="DZ50" s="179"/>
      <c r="EA50" s="179"/>
      <c r="EB50" s="179"/>
      <c r="EC50" s="179"/>
      <c r="ED50" s="179"/>
      <c r="EE50" s="179"/>
      <c r="EF50" s="179"/>
      <c r="EG50" s="179"/>
      <c r="EH50" s="179"/>
      <c r="EI50" s="179"/>
      <c r="EJ50" s="509"/>
      <c r="EK50" s="303" t="s">
        <v>122</v>
      </c>
      <c r="EL50" s="507" t="s">
        <v>273</v>
      </c>
      <c r="EM50" s="179"/>
      <c r="EN50" s="179"/>
      <c r="EO50" s="179"/>
      <c r="EP50" s="510"/>
      <c r="EQ50" s="179"/>
      <c r="ER50" s="179"/>
      <c r="ES50" s="179"/>
      <c r="ET50" s="510"/>
      <c r="EU50" s="179"/>
      <c r="EV50" s="179"/>
      <c r="EW50" s="179"/>
      <c r="EX50" s="509"/>
      <c r="EY50" s="303" t="s">
        <v>122</v>
      </c>
      <c r="EZ50" s="507" t="s">
        <v>273</v>
      </c>
      <c r="FA50" s="179"/>
      <c r="FB50" s="179"/>
      <c r="FC50" s="179"/>
      <c r="FD50" s="510"/>
      <c r="FE50" s="179"/>
      <c r="FF50" s="179"/>
      <c r="FG50" s="179"/>
      <c r="FH50" s="510"/>
      <c r="FI50" s="179"/>
      <c r="FJ50" s="179"/>
      <c r="FK50" s="179"/>
      <c r="FL50" s="511"/>
      <c r="FM50" s="303" t="s">
        <v>122</v>
      </c>
      <c r="FN50" s="507" t="s">
        <v>273</v>
      </c>
      <c r="FO50" s="179"/>
      <c r="FP50" s="179"/>
      <c r="FQ50" s="179"/>
      <c r="FR50" s="510"/>
      <c r="FS50" s="179"/>
      <c r="FT50" s="179"/>
      <c r="FU50" s="179"/>
      <c r="FV50" s="510"/>
      <c r="FW50" s="179"/>
      <c r="FX50" s="179"/>
      <c r="FY50" s="179"/>
      <c r="FZ50" s="511"/>
    </row>
    <row r="51" spans="1:182" ht="19.350000000000001" customHeight="1" x14ac:dyDescent="0.2">
      <c r="A51" s="303" t="s">
        <v>123</v>
      </c>
      <c r="B51" s="507" t="s">
        <v>274</v>
      </c>
      <c r="C51" s="510">
        <f>'Combustion (Proposed)'!L22</f>
        <v>5.8823529411764701E-6</v>
      </c>
      <c r="D51" s="510">
        <f>'Combustion (Proposed)'!M22</f>
        <v>2.5764705882352938E-5</v>
      </c>
      <c r="E51" s="510">
        <f>'Combustion (Proposed)'!N22</f>
        <v>2.5764705882352938E-5</v>
      </c>
      <c r="F51" s="263"/>
      <c r="G51" s="263"/>
      <c r="H51" s="263"/>
      <c r="I51" s="263"/>
      <c r="J51" s="263"/>
      <c r="K51" s="263"/>
      <c r="L51" s="263"/>
      <c r="M51" s="263"/>
      <c r="N51" s="508"/>
      <c r="O51" s="303" t="s">
        <v>123</v>
      </c>
      <c r="P51" s="507" t="s">
        <v>274</v>
      </c>
      <c r="Q51" s="179">
        <f>'Combustion (Proposed)'!O87</f>
        <v>2.0682352941176467E-5</v>
      </c>
      <c r="R51" s="179">
        <f>'Combustion (Proposed)'!P87</f>
        <v>9.0588705882352929E-5</v>
      </c>
      <c r="S51" s="179">
        <f>'Combustion (Proposed)'!Q87</f>
        <v>9.0588705882352929E-5</v>
      </c>
      <c r="T51" s="263"/>
      <c r="U51" s="263"/>
      <c r="V51" s="263"/>
      <c r="W51" s="263"/>
      <c r="X51" s="263"/>
      <c r="Y51" s="179"/>
      <c r="Z51" s="179"/>
      <c r="AA51" s="179"/>
      <c r="AB51" s="509"/>
      <c r="AC51" s="303" t="s">
        <v>123</v>
      </c>
      <c r="AD51" s="507" t="s">
        <v>274</v>
      </c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509"/>
      <c r="AQ51" s="303" t="s">
        <v>123</v>
      </c>
      <c r="AR51" s="507" t="s">
        <v>274</v>
      </c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509"/>
      <c r="BE51" s="303" t="s">
        <v>123</v>
      </c>
      <c r="BF51" s="507" t="s">
        <v>274</v>
      </c>
      <c r="BG51" s="179"/>
      <c r="BH51" s="179"/>
      <c r="BI51" s="179"/>
      <c r="BJ51" s="179"/>
      <c r="BK51" s="179">
        <f>'Combustion (Proposed)'!O155</f>
        <v>1.1529411764705881E-4</v>
      </c>
      <c r="BL51" s="179">
        <f>'Combustion (Proposed)'!P155</f>
        <v>5.0498823529411757E-4</v>
      </c>
      <c r="BM51" s="179">
        <f>'Combustion (Proposed)'!Q155</f>
        <v>5.0498823529411757E-4</v>
      </c>
      <c r="BN51" s="179"/>
      <c r="BO51" s="179"/>
      <c r="BP51" s="179"/>
      <c r="BQ51" s="179"/>
      <c r="BR51" s="509"/>
      <c r="BS51" s="303" t="s">
        <v>123</v>
      </c>
      <c r="BT51" s="507" t="s">
        <v>274</v>
      </c>
      <c r="BU51" s="179"/>
      <c r="BV51" s="179"/>
      <c r="BW51" s="179"/>
      <c r="BX51" s="179"/>
      <c r="BY51" s="179"/>
      <c r="BZ51" s="179"/>
      <c r="CA51" s="179"/>
      <c r="CB51" s="179"/>
      <c r="CC51" s="179"/>
      <c r="CD51" s="179"/>
      <c r="CE51" s="179"/>
      <c r="CF51" s="509"/>
      <c r="CG51" s="303" t="s">
        <v>123</v>
      </c>
      <c r="CH51" s="507" t="s">
        <v>274</v>
      </c>
      <c r="CI51" s="179"/>
      <c r="CJ51" s="179"/>
      <c r="CK51" s="179"/>
      <c r="CL51" s="179"/>
      <c r="CM51" s="179"/>
      <c r="CN51" s="179"/>
      <c r="CO51" s="179"/>
      <c r="CP51" s="179"/>
      <c r="CQ51" s="179"/>
      <c r="CR51" s="179"/>
      <c r="CS51" s="179"/>
      <c r="CT51" s="509"/>
      <c r="CU51" s="303" t="s">
        <v>123</v>
      </c>
      <c r="CV51" s="507" t="s">
        <v>274</v>
      </c>
      <c r="CW51" s="179"/>
      <c r="CX51" s="179"/>
      <c r="CY51" s="179"/>
      <c r="CZ51" s="179"/>
      <c r="DA51" s="179"/>
      <c r="DB51" s="179"/>
      <c r="DC51" s="179"/>
      <c r="DD51" s="179"/>
      <c r="DE51" s="179"/>
      <c r="DF51" s="179"/>
      <c r="DG51" s="179"/>
      <c r="DH51" s="509"/>
      <c r="DI51" s="303" t="s">
        <v>123</v>
      </c>
      <c r="DJ51" s="507" t="s">
        <v>274</v>
      </c>
      <c r="DK51" s="179"/>
      <c r="DL51" s="179"/>
      <c r="DM51" s="179"/>
      <c r="DN51" s="179"/>
      <c r="DO51" s="179"/>
      <c r="DP51" s="179"/>
      <c r="DQ51" s="179"/>
      <c r="DR51" s="179"/>
      <c r="DS51" s="179"/>
      <c r="DT51" s="179"/>
      <c r="DU51" s="179"/>
      <c r="DV51" s="509"/>
      <c r="DW51" s="303" t="s">
        <v>123</v>
      </c>
      <c r="DX51" s="507" t="s">
        <v>274</v>
      </c>
      <c r="DY51" s="179"/>
      <c r="DZ51" s="179"/>
      <c r="EA51" s="179"/>
      <c r="EB51" s="179"/>
      <c r="EC51" s="179"/>
      <c r="ED51" s="179"/>
      <c r="EE51" s="179"/>
      <c r="EF51" s="179"/>
      <c r="EG51" s="179"/>
      <c r="EH51" s="179"/>
      <c r="EI51" s="179"/>
      <c r="EJ51" s="509"/>
      <c r="EK51" s="303" t="s">
        <v>123</v>
      </c>
      <c r="EL51" s="507" t="s">
        <v>274</v>
      </c>
      <c r="EM51" s="179"/>
      <c r="EN51" s="179"/>
      <c r="EO51" s="179"/>
      <c r="EP51" s="510"/>
      <c r="EQ51" s="179"/>
      <c r="ER51" s="179"/>
      <c r="ES51" s="179"/>
      <c r="ET51" s="510"/>
      <c r="EU51" s="179"/>
      <c r="EV51" s="179"/>
      <c r="EW51" s="179"/>
      <c r="EX51" s="509"/>
      <c r="EY51" s="303" t="s">
        <v>123</v>
      </c>
      <c r="EZ51" s="507" t="s">
        <v>274</v>
      </c>
      <c r="FA51" s="179"/>
      <c r="FB51" s="179"/>
      <c r="FC51" s="179"/>
      <c r="FD51" s="510"/>
      <c r="FE51" s="179"/>
      <c r="FF51" s="179"/>
      <c r="FG51" s="179"/>
      <c r="FH51" s="510"/>
      <c r="FI51" s="179"/>
      <c r="FJ51" s="179"/>
      <c r="FK51" s="179"/>
      <c r="FL51" s="511"/>
      <c r="FM51" s="303" t="s">
        <v>123</v>
      </c>
      <c r="FN51" s="507" t="s">
        <v>274</v>
      </c>
      <c r="FO51" s="179"/>
      <c r="FP51" s="179"/>
      <c r="FQ51" s="179"/>
      <c r="FR51" s="510"/>
      <c r="FS51" s="179"/>
      <c r="FT51" s="179"/>
      <c r="FU51" s="179"/>
      <c r="FV51" s="510"/>
      <c r="FW51" s="179"/>
      <c r="FX51" s="179"/>
      <c r="FY51" s="179"/>
      <c r="FZ51" s="511"/>
    </row>
    <row r="52" spans="1:182" ht="19.350000000000001" customHeight="1" x14ac:dyDescent="0.2">
      <c r="A52" s="303" t="s">
        <v>124</v>
      </c>
      <c r="B52" s="507" t="s">
        <v>411</v>
      </c>
      <c r="C52" s="510">
        <f>'Combustion (Proposed)'!L23</f>
        <v>5.8823529411764701E-6</v>
      </c>
      <c r="D52" s="510">
        <f>'Combustion (Proposed)'!M23</f>
        <v>2.5764705882352938E-5</v>
      </c>
      <c r="E52" s="510">
        <f>'Combustion (Proposed)'!N23</f>
        <v>2.5764705882352938E-5</v>
      </c>
      <c r="F52" s="263"/>
      <c r="G52" s="263"/>
      <c r="H52" s="263"/>
      <c r="I52" s="263"/>
      <c r="J52" s="263"/>
      <c r="K52" s="263"/>
      <c r="L52" s="263"/>
      <c r="M52" s="263"/>
      <c r="N52" s="508"/>
      <c r="O52" s="303" t="s">
        <v>124</v>
      </c>
      <c r="P52" s="507" t="s">
        <v>411</v>
      </c>
      <c r="Q52" s="179">
        <f>'Combustion (Proposed)'!O88</f>
        <v>2.0682352941176467E-5</v>
      </c>
      <c r="R52" s="179">
        <f>'Combustion (Proposed)'!P88</f>
        <v>9.0588705882352929E-5</v>
      </c>
      <c r="S52" s="179">
        <f>'Combustion (Proposed)'!Q88</f>
        <v>9.0588705882352929E-5</v>
      </c>
      <c r="T52" s="263"/>
      <c r="U52" s="263"/>
      <c r="V52" s="263"/>
      <c r="W52" s="263"/>
      <c r="X52" s="263"/>
      <c r="Y52" s="179"/>
      <c r="Z52" s="179"/>
      <c r="AA52" s="179"/>
      <c r="AB52" s="509"/>
      <c r="AC52" s="303" t="s">
        <v>124</v>
      </c>
      <c r="AD52" s="507" t="s">
        <v>411</v>
      </c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509"/>
      <c r="AQ52" s="303" t="s">
        <v>124</v>
      </c>
      <c r="AR52" s="507" t="s">
        <v>411</v>
      </c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509"/>
      <c r="BE52" s="303" t="s">
        <v>124</v>
      </c>
      <c r="BF52" s="507" t="s">
        <v>411</v>
      </c>
      <c r="BG52" s="179"/>
      <c r="BH52" s="179"/>
      <c r="BI52" s="179"/>
      <c r="BJ52" s="179"/>
      <c r="BK52" s="179">
        <f>'Combustion (Proposed)'!O156</f>
        <v>1.1529411764705881E-4</v>
      </c>
      <c r="BL52" s="179">
        <f>'Combustion (Proposed)'!P156</f>
        <v>5.0498823529411757E-4</v>
      </c>
      <c r="BM52" s="179">
        <f>'Combustion (Proposed)'!Q156</f>
        <v>5.0498823529411757E-4</v>
      </c>
      <c r="BN52" s="179"/>
      <c r="BO52" s="179"/>
      <c r="BP52" s="179"/>
      <c r="BQ52" s="179"/>
      <c r="BR52" s="509"/>
      <c r="BS52" s="303" t="s">
        <v>124</v>
      </c>
      <c r="BT52" s="507" t="s">
        <v>411</v>
      </c>
      <c r="BU52" s="179"/>
      <c r="BV52" s="179"/>
      <c r="BW52" s="179"/>
      <c r="BX52" s="179"/>
      <c r="BY52" s="179"/>
      <c r="BZ52" s="179"/>
      <c r="CA52" s="179"/>
      <c r="CB52" s="179"/>
      <c r="CC52" s="179"/>
      <c r="CD52" s="179"/>
      <c r="CE52" s="179"/>
      <c r="CF52" s="509"/>
      <c r="CG52" s="303" t="s">
        <v>124</v>
      </c>
      <c r="CH52" s="507" t="s">
        <v>411</v>
      </c>
      <c r="CI52" s="179"/>
      <c r="CJ52" s="179"/>
      <c r="CK52" s="179"/>
      <c r="CL52" s="179"/>
      <c r="CM52" s="179"/>
      <c r="CN52" s="179"/>
      <c r="CO52" s="179"/>
      <c r="CP52" s="179"/>
      <c r="CQ52" s="179"/>
      <c r="CR52" s="179"/>
      <c r="CS52" s="179"/>
      <c r="CT52" s="509"/>
      <c r="CU52" s="303" t="s">
        <v>124</v>
      </c>
      <c r="CV52" s="507" t="s">
        <v>411</v>
      </c>
      <c r="CW52" s="179"/>
      <c r="CX52" s="179"/>
      <c r="CY52" s="179"/>
      <c r="CZ52" s="179"/>
      <c r="DA52" s="179"/>
      <c r="DB52" s="179"/>
      <c r="DC52" s="179"/>
      <c r="DD52" s="179"/>
      <c r="DE52" s="179"/>
      <c r="DF52" s="179"/>
      <c r="DG52" s="179"/>
      <c r="DH52" s="509"/>
      <c r="DI52" s="303" t="s">
        <v>124</v>
      </c>
      <c r="DJ52" s="507" t="s">
        <v>411</v>
      </c>
      <c r="DK52" s="179"/>
      <c r="DL52" s="179"/>
      <c r="DM52" s="179"/>
      <c r="DN52" s="179"/>
      <c r="DO52" s="179"/>
      <c r="DP52" s="179"/>
      <c r="DQ52" s="179"/>
      <c r="DR52" s="179"/>
      <c r="DS52" s="179"/>
      <c r="DT52" s="179"/>
      <c r="DU52" s="179"/>
      <c r="DV52" s="509"/>
      <c r="DW52" s="303" t="s">
        <v>124</v>
      </c>
      <c r="DX52" s="507" t="s">
        <v>411</v>
      </c>
      <c r="DY52" s="179"/>
      <c r="DZ52" s="179"/>
      <c r="EA52" s="179"/>
      <c r="EB52" s="179"/>
      <c r="EC52" s="179"/>
      <c r="ED52" s="179"/>
      <c r="EE52" s="179"/>
      <c r="EF52" s="179"/>
      <c r="EG52" s="179"/>
      <c r="EH52" s="179"/>
      <c r="EI52" s="179"/>
      <c r="EJ52" s="509"/>
      <c r="EK52" s="303" t="s">
        <v>124</v>
      </c>
      <c r="EL52" s="507" t="s">
        <v>411</v>
      </c>
      <c r="EM52" s="179"/>
      <c r="EN52" s="179"/>
      <c r="EO52" s="179"/>
      <c r="EP52" s="510"/>
      <c r="EQ52" s="179"/>
      <c r="ER52" s="179"/>
      <c r="ES52" s="179"/>
      <c r="ET52" s="510"/>
      <c r="EU52" s="179"/>
      <c r="EV52" s="179"/>
      <c r="EW52" s="179"/>
      <c r="EX52" s="509"/>
      <c r="EY52" s="303" t="s">
        <v>124</v>
      </c>
      <c r="EZ52" s="507" t="s">
        <v>411</v>
      </c>
      <c r="FA52" s="179"/>
      <c r="FB52" s="179"/>
      <c r="FC52" s="179"/>
      <c r="FD52" s="510"/>
      <c r="FE52" s="179"/>
      <c r="FF52" s="179"/>
      <c r="FG52" s="179"/>
      <c r="FH52" s="510"/>
      <c r="FI52" s="179"/>
      <c r="FJ52" s="179"/>
      <c r="FK52" s="179"/>
      <c r="FL52" s="511"/>
      <c r="FM52" s="303" t="s">
        <v>124</v>
      </c>
      <c r="FN52" s="507" t="s">
        <v>411</v>
      </c>
      <c r="FO52" s="179"/>
      <c r="FP52" s="179"/>
      <c r="FQ52" s="179"/>
      <c r="FR52" s="510"/>
      <c r="FS52" s="179"/>
      <c r="FT52" s="179"/>
      <c r="FU52" s="179"/>
      <c r="FV52" s="510"/>
      <c r="FW52" s="179"/>
      <c r="FX52" s="179"/>
      <c r="FY52" s="179"/>
      <c r="FZ52" s="511"/>
    </row>
    <row r="53" spans="1:182" ht="19.350000000000001" customHeight="1" x14ac:dyDescent="0.2">
      <c r="A53" s="623" t="s">
        <v>214</v>
      </c>
      <c r="B53" s="507" t="s">
        <v>299</v>
      </c>
      <c r="C53" s="510">
        <f>'Combustion (Proposed)'!L24</f>
        <v>7.8431372549019607E-8</v>
      </c>
      <c r="D53" s="510">
        <f>'Combustion (Proposed)'!M24</f>
        <v>3.4352941176470583E-7</v>
      </c>
      <c r="E53" s="510">
        <f>'Combustion (Proposed)'!N24</f>
        <v>3.4352941176470583E-7</v>
      </c>
      <c r="F53" s="263"/>
      <c r="G53" s="263"/>
      <c r="H53" s="263"/>
      <c r="I53" s="263"/>
      <c r="J53" s="263"/>
      <c r="K53" s="263"/>
      <c r="L53" s="263"/>
      <c r="M53" s="263"/>
      <c r="N53" s="508"/>
      <c r="O53" s="623" t="s">
        <v>214</v>
      </c>
      <c r="P53" s="507" t="s">
        <v>299</v>
      </c>
      <c r="Q53" s="179">
        <f>'Combustion (Proposed)'!O89</f>
        <v>2.7576470588235289E-7</v>
      </c>
      <c r="R53" s="179">
        <f>'Combustion (Proposed)'!P89</f>
        <v>1.2078494117647057E-6</v>
      </c>
      <c r="S53" s="179">
        <f>'Combustion (Proposed)'!Q89</f>
        <v>1.2078494117647057E-6</v>
      </c>
      <c r="T53" s="263"/>
      <c r="U53" s="263"/>
      <c r="V53" s="263"/>
      <c r="W53" s="263"/>
      <c r="X53" s="263"/>
      <c r="Y53" s="179"/>
      <c r="Z53" s="179"/>
      <c r="AA53" s="179"/>
      <c r="AB53" s="509"/>
      <c r="AC53" s="623" t="s">
        <v>214</v>
      </c>
      <c r="AD53" s="507" t="s">
        <v>299</v>
      </c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509"/>
      <c r="AQ53" s="623" t="s">
        <v>214</v>
      </c>
      <c r="AR53" s="507" t="s">
        <v>299</v>
      </c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509"/>
      <c r="BE53" s="623" t="s">
        <v>214</v>
      </c>
      <c r="BF53" s="507" t="s">
        <v>299</v>
      </c>
      <c r="BG53" s="179"/>
      <c r="BH53" s="179"/>
      <c r="BI53" s="179"/>
      <c r="BJ53" s="179"/>
      <c r="BK53" s="179">
        <f>'Combustion (Proposed)'!O157</f>
        <v>1.5372549019607845E-6</v>
      </c>
      <c r="BL53" s="179">
        <f>'Combustion (Proposed)'!P157</f>
        <v>6.7331764705882362E-6</v>
      </c>
      <c r="BM53" s="179">
        <f>'Combustion (Proposed)'!Q157</f>
        <v>6.7331764705882362E-6</v>
      </c>
      <c r="BN53" s="179"/>
      <c r="BO53" s="179"/>
      <c r="BP53" s="179"/>
      <c r="BQ53" s="179"/>
      <c r="BR53" s="509"/>
      <c r="BS53" s="623" t="s">
        <v>214</v>
      </c>
      <c r="BT53" s="507" t="s">
        <v>299</v>
      </c>
      <c r="BU53" s="179"/>
      <c r="BV53" s="179"/>
      <c r="BW53" s="179"/>
      <c r="BX53" s="179"/>
      <c r="BY53" s="179"/>
      <c r="BZ53" s="179"/>
      <c r="CA53" s="179"/>
      <c r="CB53" s="179"/>
      <c r="CC53" s="179"/>
      <c r="CD53" s="179"/>
      <c r="CE53" s="179"/>
      <c r="CF53" s="509"/>
      <c r="CG53" s="303" t="s">
        <v>214</v>
      </c>
      <c r="CH53" s="507" t="s">
        <v>299</v>
      </c>
      <c r="CI53" s="179"/>
      <c r="CJ53" s="179"/>
      <c r="CK53" s="179"/>
      <c r="CL53" s="179"/>
      <c r="CM53" s="179"/>
      <c r="CN53" s="179"/>
      <c r="CO53" s="179"/>
      <c r="CP53" s="179"/>
      <c r="CQ53" s="179"/>
      <c r="CR53" s="179"/>
      <c r="CS53" s="179"/>
      <c r="CT53" s="509"/>
      <c r="CU53" s="303" t="s">
        <v>214</v>
      </c>
      <c r="CV53" s="507" t="s">
        <v>299</v>
      </c>
      <c r="CW53" s="179"/>
      <c r="CX53" s="179"/>
      <c r="CY53" s="179"/>
      <c r="CZ53" s="179"/>
      <c r="DA53" s="179"/>
      <c r="DB53" s="179"/>
      <c r="DC53" s="179"/>
      <c r="DD53" s="179"/>
      <c r="DE53" s="179"/>
      <c r="DF53" s="179"/>
      <c r="DG53" s="179"/>
      <c r="DH53" s="509"/>
      <c r="DI53" s="303" t="s">
        <v>214</v>
      </c>
      <c r="DJ53" s="507" t="s">
        <v>299</v>
      </c>
      <c r="DK53" s="179"/>
      <c r="DL53" s="179"/>
      <c r="DM53" s="179"/>
      <c r="DN53" s="179"/>
      <c r="DO53" s="179"/>
      <c r="DP53" s="179"/>
      <c r="DQ53" s="179"/>
      <c r="DR53" s="179"/>
      <c r="DS53" s="179"/>
      <c r="DT53" s="179"/>
      <c r="DU53" s="179"/>
      <c r="DV53" s="509"/>
      <c r="DW53" s="303" t="s">
        <v>214</v>
      </c>
      <c r="DX53" s="507" t="s">
        <v>299</v>
      </c>
      <c r="DY53" s="179"/>
      <c r="DZ53" s="179"/>
      <c r="EA53" s="179"/>
      <c r="EB53" s="179"/>
      <c r="EC53" s="179"/>
      <c r="ED53" s="179"/>
      <c r="EE53" s="179"/>
      <c r="EF53" s="179"/>
      <c r="EG53" s="179"/>
      <c r="EH53" s="179"/>
      <c r="EI53" s="179"/>
      <c r="EJ53" s="509"/>
      <c r="EK53" s="303" t="s">
        <v>214</v>
      </c>
      <c r="EL53" s="507" t="s">
        <v>299</v>
      </c>
      <c r="EM53" s="179"/>
      <c r="EN53" s="179"/>
      <c r="EO53" s="179"/>
      <c r="EP53" s="510"/>
      <c r="EQ53" s="179"/>
      <c r="ER53" s="179"/>
      <c r="ES53" s="179"/>
      <c r="ET53" s="510"/>
      <c r="EU53" s="179"/>
      <c r="EV53" s="179"/>
      <c r="EW53" s="179"/>
      <c r="EX53" s="509"/>
      <c r="EY53" s="303" t="s">
        <v>214</v>
      </c>
      <c r="EZ53" s="507" t="s">
        <v>299</v>
      </c>
      <c r="FA53" s="179"/>
      <c r="FB53" s="179"/>
      <c r="FC53" s="179"/>
      <c r="FD53" s="510"/>
      <c r="FE53" s="179"/>
      <c r="FF53" s="179"/>
      <c r="FG53" s="179"/>
      <c r="FH53" s="510"/>
      <c r="FI53" s="179"/>
      <c r="FJ53" s="179"/>
      <c r="FK53" s="179"/>
      <c r="FL53" s="511"/>
      <c r="FM53" s="303" t="s">
        <v>214</v>
      </c>
      <c r="FN53" s="507" t="s">
        <v>299</v>
      </c>
      <c r="FO53" s="179"/>
      <c r="FP53" s="179"/>
      <c r="FQ53" s="179"/>
      <c r="FR53" s="510"/>
      <c r="FS53" s="179"/>
      <c r="FT53" s="179"/>
      <c r="FU53" s="179"/>
      <c r="FV53" s="510"/>
      <c r="FW53" s="179"/>
      <c r="FX53" s="179"/>
      <c r="FY53" s="179"/>
      <c r="FZ53" s="511"/>
    </row>
    <row r="54" spans="1:182" ht="19.350000000000001" customHeight="1" x14ac:dyDescent="0.2">
      <c r="A54" s="303" t="s">
        <v>125</v>
      </c>
      <c r="B54" s="507" t="s">
        <v>295</v>
      </c>
      <c r="C54" s="510">
        <f>'Combustion (Proposed)'!L25</f>
        <v>2.2713474518767194E-6</v>
      </c>
      <c r="D54" s="510">
        <f>'Combustion (Proposed)'!M25</f>
        <v>9.9485018392200313E-6</v>
      </c>
      <c r="E54" s="510">
        <f>'Combustion (Proposed)'!N25</f>
        <v>9.9485018392200313E-6</v>
      </c>
      <c r="F54" s="263"/>
      <c r="G54" s="263"/>
      <c r="H54" s="263"/>
      <c r="I54" s="263"/>
      <c r="J54" s="263"/>
      <c r="K54" s="263"/>
      <c r="L54" s="263"/>
      <c r="M54" s="263"/>
      <c r="N54" s="508"/>
      <c r="O54" s="303" t="s">
        <v>125</v>
      </c>
      <c r="P54" s="507" t="s">
        <v>295</v>
      </c>
      <c r="Q54" s="179">
        <f>'Combustion (Proposed)'!O90</f>
        <v>9.3173999999999999E-6</v>
      </c>
      <c r="R54" s="179">
        <f>'Combustion (Proposed)'!P90</f>
        <v>4.0810211999999997E-5</v>
      </c>
      <c r="S54" s="179">
        <f>'Combustion (Proposed)'!Q90</f>
        <v>4.0810211999999997E-5</v>
      </c>
      <c r="T54" s="263"/>
      <c r="U54" s="263"/>
      <c r="V54" s="263"/>
      <c r="W54" s="263"/>
      <c r="X54" s="263"/>
      <c r="Y54" s="179"/>
      <c r="Z54" s="179"/>
      <c r="AA54" s="179"/>
      <c r="AB54" s="509"/>
      <c r="AC54" s="303" t="s">
        <v>125</v>
      </c>
      <c r="AD54" s="507" t="s">
        <v>295</v>
      </c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509"/>
      <c r="AQ54" s="303" t="s">
        <v>125</v>
      </c>
      <c r="AR54" s="507" t="s">
        <v>295</v>
      </c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509"/>
      <c r="BE54" s="303" t="s">
        <v>125</v>
      </c>
      <c r="BF54" s="507" t="s">
        <v>295</v>
      </c>
      <c r="BG54" s="179"/>
      <c r="BH54" s="179"/>
      <c r="BI54" s="179"/>
      <c r="BJ54" s="179"/>
      <c r="BK54" s="179">
        <f>'Combustion (Proposed)'!O158</f>
        <v>5.1940000000000008E-5</v>
      </c>
      <c r="BL54" s="179">
        <f>'Combustion (Proposed)'!P158</f>
        <v>2.2749720000000005E-4</v>
      </c>
      <c r="BM54" s="179">
        <f>'Combustion (Proposed)'!Q158</f>
        <v>2.2749720000000005E-4</v>
      </c>
      <c r="BN54" s="179"/>
      <c r="BO54" s="179"/>
      <c r="BP54" s="179"/>
      <c r="BQ54" s="179"/>
      <c r="BR54" s="509"/>
      <c r="BS54" s="303" t="s">
        <v>125</v>
      </c>
      <c r="BT54" s="507" t="s">
        <v>295</v>
      </c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509"/>
      <c r="CG54" s="303" t="s">
        <v>125</v>
      </c>
      <c r="CH54" s="507" t="s">
        <v>295</v>
      </c>
      <c r="CI54" s="179"/>
      <c r="CJ54" s="179"/>
      <c r="CK54" s="179"/>
      <c r="CL54" s="179"/>
      <c r="CM54" s="179"/>
      <c r="CN54" s="179"/>
      <c r="CO54" s="179"/>
      <c r="CP54" s="179"/>
      <c r="CQ54" s="179"/>
      <c r="CR54" s="179"/>
      <c r="CS54" s="179"/>
      <c r="CT54" s="509"/>
      <c r="CU54" s="303" t="s">
        <v>125</v>
      </c>
      <c r="CV54" s="507" t="s">
        <v>295</v>
      </c>
      <c r="CW54" s="179"/>
      <c r="CX54" s="179"/>
      <c r="CY54" s="179"/>
      <c r="CZ54" s="179"/>
      <c r="DA54" s="179"/>
      <c r="DB54" s="179"/>
      <c r="DC54" s="179"/>
      <c r="DD54" s="179"/>
      <c r="DE54" s="179"/>
      <c r="DF54" s="179"/>
      <c r="DG54" s="179"/>
      <c r="DH54" s="509"/>
      <c r="DI54" s="303" t="s">
        <v>125</v>
      </c>
      <c r="DJ54" s="507" t="s">
        <v>295</v>
      </c>
      <c r="DK54" s="179"/>
      <c r="DL54" s="179"/>
      <c r="DM54" s="179"/>
      <c r="DN54" s="179"/>
      <c r="DO54" s="179"/>
      <c r="DP54" s="179"/>
      <c r="DQ54" s="179"/>
      <c r="DR54" s="179"/>
      <c r="DS54" s="179"/>
      <c r="DT54" s="179"/>
      <c r="DU54" s="179"/>
      <c r="DV54" s="509"/>
      <c r="DW54" s="303" t="s">
        <v>125</v>
      </c>
      <c r="DX54" s="507" t="s">
        <v>295</v>
      </c>
      <c r="DY54" s="179"/>
      <c r="DZ54" s="179"/>
      <c r="EA54" s="179"/>
      <c r="EB54" s="179"/>
      <c r="EC54" s="179"/>
      <c r="ED54" s="179"/>
      <c r="EE54" s="179"/>
      <c r="EF54" s="179"/>
      <c r="EG54" s="179"/>
      <c r="EH54" s="179"/>
      <c r="EI54" s="179"/>
      <c r="EJ54" s="509"/>
      <c r="EK54" s="303" t="s">
        <v>125</v>
      </c>
      <c r="EL54" s="507" t="s">
        <v>295</v>
      </c>
      <c r="EM54" s="179"/>
      <c r="EN54" s="179"/>
      <c r="EO54" s="179"/>
      <c r="EP54" s="510"/>
      <c r="EQ54" s="179"/>
      <c r="ER54" s="179"/>
      <c r="ES54" s="179"/>
      <c r="ET54" s="510"/>
      <c r="EU54" s="179"/>
      <c r="EV54" s="179"/>
      <c r="EW54" s="179"/>
      <c r="EX54" s="509"/>
      <c r="EY54" s="303" t="s">
        <v>125</v>
      </c>
      <c r="EZ54" s="507" t="s">
        <v>295</v>
      </c>
      <c r="FA54" s="179"/>
      <c r="FB54" s="179"/>
      <c r="FC54" s="179"/>
      <c r="FD54" s="510"/>
      <c r="FE54" s="179"/>
      <c r="FF54" s="179"/>
      <c r="FG54" s="179"/>
      <c r="FH54" s="510"/>
      <c r="FI54" s="179"/>
      <c r="FJ54" s="179"/>
      <c r="FK54" s="179"/>
      <c r="FL54" s="511"/>
      <c r="FM54" s="303" t="s">
        <v>125</v>
      </c>
      <c r="FN54" s="507" t="s">
        <v>295</v>
      </c>
      <c r="FO54" s="179"/>
      <c r="FP54" s="179"/>
      <c r="FQ54" s="179"/>
      <c r="FR54" s="510"/>
      <c r="FS54" s="179"/>
      <c r="FT54" s="179"/>
      <c r="FU54" s="179"/>
      <c r="FV54" s="510"/>
      <c r="FW54" s="179"/>
      <c r="FX54" s="179"/>
      <c r="FY54" s="179"/>
      <c r="FZ54" s="511"/>
    </row>
    <row r="55" spans="1:182" ht="19.350000000000001" customHeight="1" x14ac:dyDescent="0.2">
      <c r="A55" s="303" t="s">
        <v>126</v>
      </c>
      <c r="B55" s="507" t="s">
        <v>275</v>
      </c>
      <c r="C55" s="510">
        <f>'Combustion (Proposed)'!L26</f>
        <v>1.7285096960822832E-7</v>
      </c>
      <c r="D55" s="510">
        <f>'Combustion (Proposed)'!M26</f>
        <v>7.5708724688404006E-7</v>
      </c>
      <c r="E55" s="510">
        <f>'Combustion (Proposed)'!N26</f>
        <v>7.5708724688404006E-7</v>
      </c>
      <c r="F55" s="263"/>
      <c r="G55" s="263"/>
      <c r="H55" s="263"/>
      <c r="I55" s="263"/>
      <c r="J55" s="263"/>
      <c r="K55" s="263"/>
      <c r="L55" s="263"/>
      <c r="M55" s="263"/>
      <c r="N55" s="508"/>
      <c r="O55" s="303" t="s">
        <v>126</v>
      </c>
      <c r="P55" s="507" t="s">
        <v>275</v>
      </c>
      <c r="Q55" s="179">
        <f>'Combustion (Proposed)'!O91</f>
        <v>7.0905999999999997E-7</v>
      </c>
      <c r="R55" s="179">
        <f>'Combustion (Proposed)'!P91</f>
        <v>3.1056828E-6</v>
      </c>
      <c r="S55" s="179">
        <f>'Combustion (Proposed)'!Q91</f>
        <v>3.1056828E-6</v>
      </c>
      <c r="T55" s="263"/>
      <c r="U55" s="263"/>
      <c r="V55" s="263"/>
      <c r="W55" s="263"/>
      <c r="X55" s="263"/>
      <c r="Y55" s="179"/>
      <c r="Z55" s="179"/>
      <c r="AA55" s="179"/>
      <c r="AB55" s="509"/>
      <c r="AC55" s="303" t="s">
        <v>126</v>
      </c>
      <c r="AD55" s="507" t="s">
        <v>275</v>
      </c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509"/>
      <c r="AQ55" s="303" t="s">
        <v>126</v>
      </c>
      <c r="AR55" s="507" t="s">
        <v>275</v>
      </c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509"/>
      <c r="BE55" s="303" t="s">
        <v>126</v>
      </c>
      <c r="BF55" s="507" t="s">
        <v>275</v>
      </c>
      <c r="BG55" s="179"/>
      <c r="BH55" s="179"/>
      <c r="BI55" s="179"/>
      <c r="BJ55" s="179"/>
      <c r="BK55" s="179">
        <f>'Combustion (Proposed)'!O159</f>
        <v>3.9526666666666677E-6</v>
      </c>
      <c r="BL55" s="179">
        <f>'Combustion (Proposed)'!P159</f>
        <v>1.7312680000000003E-5</v>
      </c>
      <c r="BM55" s="179">
        <f>'Combustion (Proposed)'!Q159</f>
        <v>1.7312680000000003E-5</v>
      </c>
      <c r="BN55" s="179"/>
      <c r="BO55" s="179"/>
      <c r="BP55" s="179"/>
      <c r="BQ55" s="179"/>
      <c r="BR55" s="509"/>
      <c r="BS55" s="303" t="s">
        <v>126</v>
      </c>
      <c r="BT55" s="507" t="s">
        <v>275</v>
      </c>
      <c r="BU55" s="179"/>
      <c r="BV55" s="179"/>
      <c r="BW55" s="179"/>
      <c r="BX55" s="179"/>
      <c r="BY55" s="179"/>
      <c r="BZ55" s="179"/>
      <c r="CA55" s="179"/>
      <c r="CB55" s="179"/>
      <c r="CC55" s="179"/>
      <c r="CD55" s="179"/>
      <c r="CE55" s="179"/>
      <c r="CF55" s="509"/>
      <c r="CG55" s="303" t="s">
        <v>126</v>
      </c>
      <c r="CH55" s="507" t="s">
        <v>275</v>
      </c>
      <c r="CI55" s="179"/>
      <c r="CJ55" s="179"/>
      <c r="CK55" s="179"/>
      <c r="CL55" s="179"/>
      <c r="CM55" s="179"/>
      <c r="CN55" s="179"/>
      <c r="CO55" s="179"/>
      <c r="CP55" s="179"/>
      <c r="CQ55" s="179"/>
      <c r="CR55" s="179"/>
      <c r="CS55" s="179"/>
      <c r="CT55" s="509"/>
      <c r="CU55" s="303" t="s">
        <v>126</v>
      </c>
      <c r="CV55" s="507" t="s">
        <v>275</v>
      </c>
      <c r="CW55" s="179"/>
      <c r="CX55" s="179"/>
      <c r="CY55" s="179"/>
      <c r="CZ55" s="179"/>
      <c r="DA55" s="179"/>
      <c r="DB55" s="179"/>
      <c r="DC55" s="179"/>
      <c r="DD55" s="179"/>
      <c r="DE55" s="179"/>
      <c r="DF55" s="179"/>
      <c r="DG55" s="179"/>
      <c r="DH55" s="509"/>
      <c r="DI55" s="303" t="s">
        <v>126</v>
      </c>
      <c r="DJ55" s="507" t="s">
        <v>275</v>
      </c>
      <c r="DK55" s="179"/>
      <c r="DL55" s="179"/>
      <c r="DM55" s="179"/>
      <c r="DN55" s="179"/>
      <c r="DO55" s="179"/>
      <c r="DP55" s="179"/>
      <c r="DQ55" s="179"/>
      <c r="DR55" s="179"/>
      <c r="DS55" s="179"/>
      <c r="DT55" s="179"/>
      <c r="DU55" s="179"/>
      <c r="DV55" s="509"/>
      <c r="DW55" s="303" t="s">
        <v>126</v>
      </c>
      <c r="DX55" s="507" t="s">
        <v>275</v>
      </c>
      <c r="DY55" s="179"/>
      <c r="DZ55" s="179"/>
      <c r="EA55" s="179"/>
      <c r="EB55" s="179"/>
      <c r="EC55" s="179"/>
      <c r="ED55" s="179"/>
      <c r="EE55" s="179"/>
      <c r="EF55" s="179"/>
      <c r="EG55" s="179"/>
      <c r="EH55" s="179"/>
      <c r="EI55" s="179"/>
      <c r="EJ55" s="509"/>
      <c r="EK55" s="303" t="s">
        <v>126</v>
      </c>
      <c r="EL55" s="507" t="s">
        <v>275</v>
      </c>
      <c r="EM55" s="179"/>
      <c r="EN55" s="179"/>
      <c r="EO55" s="179"/>
      <c r="EP55" s="510"/>
      <c r="EQ55" s="179"/>
      <c r="ER55" s="179"/>
      <c r="ES55" s="179"/>
      <c r="ET55" s="510"/>
      <c r="EU55" s="179"/>
      <c r="EV55" s="179"/>
      <c r="EW55" s="179"/>
      <c r="EX55" s="509"/>
      <c r="EY55" s="303" t="s">
        <v>126</v>
      </c>
      <c r="EZ55" s="507" t="s">
        <v>275</v>
      </c>
      <c r="FA55" s="179"/>
      <c r="FB55" s="179"/>
      <c r="FC55" s="179"/>
      <c r="FD55" s="510"/>
      <c r="FE55" s="179"/>
      <c r="FF55" s="179"/>
      <c r="FG55" s="179"/>
      <c r="FH55" s="510"/>
      <c r="FI55" s="179"/>
      <c r="FJ55" s="179"/>
      <c r="FK55" s="179"/>
      <c r="FL55" s="511"/>
      <c r="FM55" s="303" t="s">
        <v>126</v>
      </c>
      <c r="FN55" s="507" t="s">
        <v>275</v>
      </c>
      <c r="FO55" s="179"/>
      <c r="FP55" s="179"/>
      <c r="FQ55" s="179"/>
      <c r="FR55" s="510"/>
      <c r="FS55" s="179"/>
      <c r="FT55" s="179"/>
      <c r="FU55" s="179"/>
      <c r="FV55" s="510"/>
      <c r="FW55" s="179"/>
      <c r="FX55" s="179"/>
      <c r="FY55" s="179"/>
      <c r="FZ55" s="511"/>
    </row>
    <row r="56" spans="1:182" ht="19.350000000000001" customHeight="1" x14ac:dyDescent="0.2">
      <c r="A56" s="303" t="s">
        <v>127</v>
      </c>
      <c r="B56" s="507" t="s">
        <v>276</v>
      </c>
      <c r="C56" s="510">
        <f>'Combustion (Proposed)'!L27</f>
        <v>1.5963715581586377E-7</v>
      </c>
      <c r="D56" s="510">
        <f>'Combustion (Proposed)'!M27</f>
        <v>6.9921074247348328E-7</v>
      </c>
      <c r="E56" s="510">
        <f>'Combustion (Proposed)'!N27</f>
        <v>6.9921074247348328E-7</v>
      </c>
      <c r="F56" s="263"/>
      <c r="G56" s="263"/>
      <c r="H56" s="263"/>
      <c r="I56" s="263"/>
      <c r="J56" s="263"/>
      <c r="K56" s="263"/>
      <c r="L56" s="263"/>
      <c r="M56" s="263"/>
      <c r="N56" s="508"/>
      <c r="O56" s="303" t="s">
        <v>127</v>
      </c>
      <c r="P56" s="507" t="s">
        <v>276</v>
      </c>
      <c r="Q56" s="179">
        <f>'Combustion (Proposed)'!O92</f>
        <v>6.54855E-7</v>
      </c>
      <c r="R56" s="179">
        <f>'Combustion (Proposed)'!P92</f>
        <v>2.8682648999999999E-6</v>
      </c>
      <c r="S56" s="179">
        <f>'Combustion (Proposed)'!Q92</f>
        <v>2.8682648999999999E-6</v>
      </c>
      <c r="T56" s="263"/>
      <c r="U56" s="263"/>
      <c r="V56" s="263"/>
      <c r="W56" s="263"/>
      <c r="X56" s="263"/>
      <c r="Y56" s="179"/>
      <c r="Z56" s="179"/>
      <c r="AA56" s="179"/>
      <c r="AB56" s="509"/>
      <c r="AC56" s="303" t="s">
        <v>127</v>
      </c>
      <c r="AD56" s="507" t="s">
        <v>276</v>
      </c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509"/>
      <c r="AQ56" s="303" t="s">
        <v>127</v>
      </c>
      <c r="AR56" s="507" t="s">
        <v>276</v>
      </c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509"/>
      <c r="BE56" s="303" t="s">
        <v>127</v>
      </c>
      <c r="BF56" s="507" t="s">
        <v>276</v>
      </c>
      <c r="BG56" s="179"/>
      <c r="BH56" s="179"/>
      <c r="BI56" s="179"/>
      <c r="BJ56" s="179"/>
      <c r="BK56" s="179">
        <f>'Combustion (Proposed)'!O160</f>
        <v>3.6505000000000009E-6</v>
      </c>
      <c r="BL56" s="179">
        <f>'Combustion (Proposed)'!P160</f>
        <v>1.5989190000000005E-5</v>
      </c>
      <c r="BM56" s="179">
        <f>'Combustion (Proposed)'!Q160</f>
        <v>1.5989190000000005E-5</v>
      </c>
      <c r="BN56" s="179"/>
      <c r="BO56" s="179"/>
      <c r="BP56" s="179"/>
      <c r="BQ56" s="179"/>
      <c r="BR56" s="509"/>
      <c r="BS56" s="303" t="s">
        <v>127</v>
      </c>
      <c r="BT56" s="507" t="s">
        <v>276</v>
      </c>
      <c r="BU56" s="179"/>
      <c r="BV56" s="179"/>
      <c r="BW56" s="179"/>
      <c r="BX56" s="179"/>
      <c r="BY56" s="179"/>
      <c r="BZ56" s="179"/>
      <c r="CA56" s="179"/>
      <c r="CB56" s="179"/>
      <c r="CC56" s="179"/>
      <c r="CD56" s="179"/>
      <c r="CE56" s="179"/>
      <c r="CF56" s="509"/>
      <c r="CG56" s="303" t="s">
        <v>127</v>
      </c>
      <c r="CH56" s="507" t="s">
        <v>276</v>
      </c>
      <c r="CI56" s="179"/>
      <c r="CJ56" s="179"/>
      <c r="CK56" s="179"/>
      <c r="CL56" s="179"/>
      <c r="CM56" s="179"/>
      <c r="CN56" s="179"/>
      <c r="CO56" s="179"/>
      <c r="CP56" s="179"/>
      <c r="CQ56" s="179"/>
      <c r="CR56" s="179"/>
      <c r="CS56" s="179"/>
      <c r="CT56" s="509"/>
      <c r="CU56" s="303" t="s">
        <v>127</v>
      </c>
      <c r="CV56" s="507" t="s">
        <v>276</v>
      </c>
      <c r="CW56" s="179"/>
      <c r="CX56" s="179"/>
      <c r="CY56" s="179"/>
      <c r="CZ56" s="179"/>
      <c r="DA56" s="179"/>
      <c r="DB56" s="179"/>
      <c r="DC56" s="179"/>
      <c r="DD56" s="179"/>
      <c r="DE56" s="179"/>
      <c r="DF56" s="179"/>
      <c r="DG56" s="179"/>
      <c r="DH56" s="509"/>
      <c r="DI56" s="303" t="s">
        <v>127</v>
      </c>
      <c r="DJ56" s="507" t="s">
        <v>276</v>
      </c>
      <c r="DK56" s="179"/>
      <c r="DL56" s="179"/>
      <c r="DM56" s="179"/>
      <c r="DN56" s="179"/>
      <c r="DO56" s="179"/>
      <c r="DP56" s="179"/>
      <c r="DQ56" s="179"/>
      <c r="DR56" s="179"/>
      <c r="DS56" s="179"/>
      <c r="DT56" s="179"/>
      <c r="DU56" s="179"/>
      <c r="DV56" s="509"/>
      <c r="DW56" s="303" t="s">
        <v>127</v>
      </c>
      <c r="DX56" s="507" t="s">
        <v>276</v>
      </c>
      <c r="DY56" s="179"/>
      <c r="DZ56" s="179"/>
      <c r="EA56" s="179"/>
      <c r="EB56" s="179"/>
      <c r="EC56" s="179"/>
      <c r="ED56" s="179"/>
      <c r="EE56" s="179"/>
      <c r="EF56" s="179"/>
      <c r="EG56" s="179"/>
      <c r="EH56" s="179"/>
      <c r="EI56" s="179"/>
      <c r="EJ56" s="509"/>
      <c r="EK56" s="303" t="s">
        <v>127</v>
      </c>
      <c r="EL56" s="507" t="s">
        <v>276</v>
      </c>
      <c r="EM56" s="179"/>
      <c r="EN56" s="179"/>
      <c r="EO56" s="179"/>
      <c r="EP56" s="510"/>
      <c r="EQ56" s="179"/>
      <c r="ER56" s="179"/>
      <c r="ES56" s="179"/>
      <c r="ET56" s="510"/>
      <c r="EU56" s="179"/>
      <c r="EV56" s="179"/>
      <c r="EW56" s="179"/>
      <c r="EX56" s="511"/>
      <c r="EY56" s="303" t="s">
        <v>127</v>
      </c>
      <c r="EZ56" s="507" t="s">
        <v>276</v>
      </c>
      <c r="FA56" s="179"/>
      <c r="FB56" s="179"/>
      <c r="FC56" s="179"/>
      <c r="FD56" s="510"/>
      <c r="FE56" s="179"/>
      <c r="FF56" s="179"/>
      <c r="FG56" s="179"/>
      <c r="FH56" s="510"/>
      <c r="FI56" s="179"/>
      <c r="FJ56" s="179"/>
      <c r="FK56" s="179"/>
      <c r="FL56" s="511"/>
      <c r="FM56" s="303" t="s">
        <v>127</v>
      </c>
      <c r="FN56" s="507" t="s">
        <v>276</v>
      </c>
      <c r="FO56" s="179"/>
      <c r="FP56" s="179"/>
      <c r="FQ56" s="179"/>
      <c r="FR56" s="510"/>
      <c r="FS56" s="179"/>
      <c r="FT56" s="179"/>
      <c r="FU56" s="179"/>
      <c r="FV56" s="510"/>
      <c r="FW56" s="179"/>
      <c r="FX56" s="179"/>
      <c r="FY56" s="179"/>
      <c r="FZ56" s="511"/>
    </row>
    <row r="57" spans="1:182" ht="19.350000000000001" customHeight="1" x14ac:dyDescent="0.2">
      <c r="A57" s="303" t="s">
        <v>128</v>
      </c>
      <c r="B57" s="507" t="s">
        <v>277</v>
      </c>
      <c r="C57" s="510">
        <f>'Combustion (Proposed)'!L28</f>
        <v>1.1785293382379203E-3</v>
      </c>
      <c r="D57" s="510">
        <f>'Combustion (Proposed)'!M28</f>
        <v>5.1619585014820906E-3</v>
      </c>
      <c r="E57" s="510">
        <f>'Combustion (Proposed)'!N28</f>
        <v>5.1619585014820906E-3</v>
      </c>
      <c r="F57" s="263"/>
      <c r="G57" s="307"/>
      <c r="H57" s="307"/>
      <c r="I57" s="307"/>
      <c r="J57" s="263"/>
      <c r="K57" s="263"/>
      <c r="L57" s="263"/>
      <c r="M57" s="263"/>
      <c r="N57" s="508"/>
      <c r="O57" s="303" t="s">
        <v>128</v>
      </c>
      <c r="P57" s="507" t="s">
        <v>277</v>
      </c>
      <c r="Q57" s="179">
        <f>'Combustion (Proposed)'!O93</f>
        <v>4.1437091532445271E-3</v>
      </c>
      <c r="R57" s="179">
        <f>'Combustion (Proposed)'!P93</f>
        <v>1.8149446091211028E-2</v>
      </c>
      <c r="S57" s="179">
        <f>'Combustion (Proposed)'!Q93</f>
        <v>1.8149446091211028E-2</v>
      </c>
      <c r="T57" s="263"/>
      <c r="U57" s="307"/>
      <c r="V57" s="263"/>
      <c r="W57" s="263"/>
      <c r="X57" s="263"/>
      <c r="Y57" s="179"/>
      <c r="Z57" s="179"/>
      <c r="AA57" s="179"/>
      <c r="AB57" s="509"/>
      <c r="AC57" s="303" t="s">
        <v>128</v>
      </c>
      <c r="AD57" s="507" t="s">
        <v>277</v>
      </c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509"/>
      <c r="AQ57" s="303" t="s">
        <v>128</v>
      </c>
      <c r="AR57" s="507" t="s">
        <v>277</v>
      </c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509"/>
      <c r="BE57" s="303" t="s">
        <v>128</v>
      </c>
      <c r="BF57" s="507" t="s">
        <v>277</v>
      </c>
      <c r="BG57" s="179"/>
      <c r="BH57" s="179"/>
      <c r="BI57" s="179"/>
      <c r="BJ57" s="179"/>
      <c r="BK57" s="179">
        <f>'Combustion (Proposed)'!O161</f>
        <v>2.3099175029463234E-2</v>
      </c>
      <c r="BL57" s="179">
        <f>'Combustion (Proposed)'!P161</f>
        <v>0.10117438662904897</v>
      </c>
      <c r="BM57" s="179">
        <f>'Combustion (Proposed)'!Q161</f>
        <v>0.10117438662904897</v>
      </c>
      <c r="BN57" s="179"/>
      <c r="BO57" s="179"/>
      <c r="BP57" s="179"/>
      <c r="BQ57" s="179"/>
      <c r="BR57" s="509"/>
      <c r="BS57" s="303" t="s">
        <v>128</v>
      </c>
      <c r="BT57" s="507" t="s">
        <v>277</v>
      </c>
      <c r="BU57" s="179"/>
      <c r="BV57" s="179"/>
      <c r="BW57" s="179"/>
      <c r="BX57" s="179"/>
      <c r="BY57" s="179"/>
      <c r="BZ57" s="179"/>
      <c r="CA57" s="179"/>
      <c r="CB57" s="179"/>
      <c r="CC57" s="179"/>
      <c r="CD57" s="179"/>
      <c r="CE57" s="179"/>
      <c r="CF57" s="509"/>
      <c r="CG57" s="303" t="s">
        <v>128</v>
      </c>
      <c r="CH57" s="507" t="s">
        <v>277</v>
      </c>
      <c r="CI57" s="179"/>
      <c r="CJ57" s="179"/>
      <c r="CK57" s="179"/>
      <c r="CL57" s="179"/>
      <c r="CM57" s="179"/>
      <c r="CN57" s="179"/>
      <c r="CO57" s="179"/>
      <c r="CP57" s="179"/>
      <c r="CQ57" s="179"/>
      <c r="CR57" s="179"/>
      <c r="CS57" s="179"/>
      <c r="CT57" s="509"/>
      <c r="CU57" s="303" t="s">
        <v>128</v>
      </c>
      <c r="CV57" s="507" t="s">
        <v>277</v>
      </c>
      <c r="CW57" s="179"/>
      <c r="CX57" s="179"/>
      <c r="CY57" s="179"/>
      <c r="CZ57" s="179"/>
      <c r="DA57" s="179"/>
      <c r="DB57" s="179"/>
      <c r="DC57" s="179"/>
      <c r="DD57" s="179"/>
      <c r="DE57" s="179"/>
      <c r="DF57" s="179"/>
      <c r="DG57" s="179"/>
      <c r="DH57" s="509"/>
      <c r="DI57" s="303" t="s">
        <v>128</v>
      </c>
      <c r="DJ57" s="507" t="s">
        <v>277</v>
      </c>
      <c r="DK57" s="179"/>
      <c r="DL57" s="179"/>
      <c r="DM57" s="179"/>
      <c r="DN57" s="179"/>
      <c r="DO57" s="179"/>
      <c r="DP57" s="179"/>
      <c r="DQ57" s="179"/>
      <c r="DR57" s="179"/>
      <c r="DS57" s="179"/>
      <c r="DT57" s="179"/>
      <c r="DU57" s="179"/>
      <c r="DV57" s="509"/>
      <c r="DW57" s="303" t="s">
        <v>128</v>
      </c>
      <c r="DX57" s="507" t="s">
        <v>277</v>
      </c>
      <c r="DY57" s="179"/>
      <c r="DZ57" s="179"/>
      <c r="EA57" s="179"/>
      <c r="EB57" s="179"/>
      <c r="EC57" s="179"/>
      <c r="ED57" s="179"/>
      <c r="EE57" s="179"/>
      <c r="EF57" s="179"/>
      <c r="EG57" s="179"/>
      <c r="EH57" s="179"/>
      <c r="EI57" s="179"/>
      <c r="EJ57" s="509"/>
      <c r="EK57" s="303" t="s">
        <v>128</v>
      </c>
      <c r="EL57" s="507" t="s">
        <v>277</v>
      </c>
      <c r="EM57" s="179"/>
      <c r="EN57" s="179"/>
      <c r="EO57" s="179"/>
      <c r="EP57" s="510"/>
      <c r="EQ57" s="179"/>
      <c r="ER57" s="179"/>
      <c r="ES57" s="179"/>
      <c r="ET57" s="510"/>
      <c r="EU57" s="179"/>
      <c r="EV57" s="179"/>
      <c r="EW57" s="179"/>
      <c r="EX57" s="511"/>
      <c r="EY57" s="303" t="s">
        <v>128</v>
      </c>
      <c r="EZ57" s="507" t="s">
        <v>277</v>
      </c>
      <c r="FA57" s="179"/>
      <c r="FB57" s="179"/>
      <c r="FC57" s="179"/>
      <c r="FD57" s="510"/>
      <c r="FE57" s="179"/>
      <c r="FF57" s="179"/>
      <c r="FG57" s="179"/>
      <c r="FH57" s="510"/>
      <c r="FI57" s="179"/>
      <c r="FJ57" s="179"/>
      <c r="FK57" s="179"/>
      <c r="FL57" s="511"/>
      <c r="FM57" s="303" t="s">
        <v>128</v>
      </c>
      <c r="FN57" s="507" t="s">
        <v>277</v>
      </c>
      <c r="FO57" s="179"/>
      <c r="FP57" s="179"/>
      <c r="FQ57" s="179"/>
      <c r="FR57" s="510"/>
      <c r="FS57" s="179"/>
      <c r="FT57" s="179"/>
      <c r="FU57" s="179"/>
      <c r="FV57" s="510"/>
      <c r="FW57" s="179"/>
      <c r="FX57" s="179"/>
      <c r="FY57" s="179"/>
      <c r="FZ57" s="511"/>
    </row>
    <row r="58" spans="1:182" ht="19.350000000000001" customHeight="1" x14ac:dyDescent="0.2">
      <c r="A58" s="303" t="s">
        <v>129</v>
      </c>
      <c r="B58" s="507" t="s">
        <v>278</v>
      </c>
      <c r="C58" s="510">
        <f>'Combustion (Proposed)'!L29</f>
        <v>8.8235294117647058E-3</v>
      </c>
      <c r="D58" s="510">
        <f>'Combustion (Proposed)'!M29</f>
        <v>3.8647058823529416E-2</v>
      </c>
      <c r="E58" s="510">
        <f>'Combustion (Proposed)'!N29</f>
        <v>3.8647058823529416E-2</v>
      </c>
      <c r="F58" s="263"/>
      <c r="G58" s="307"/>
      <c r="H58" s="307"/>
      <c r="I58" s="307"/>
      <c r="J58" s="263"/>
      <c r="K58" s="263"/>
      <c r="L58" s="263"/>
      <c r="M58" s="263"/>
      <c r="N58" s="508"/>
      <c r="O58" s="303" t="s">
        <v>129</v>
      </c>
      <c r="P58" s="507" t="s">
        <v>278</v>
      </c>
      <c r="Q58" s="179">
        <f>'Combustion (Proposed)'!O94</f>
        <v>3.1023529411764703E-2</v>
      </c>
      <c r="R58" s="179">
        <f>'Combustion (Proposed)'!P94</f>
        <v>0.13588305882352941</v>
      </c>
      <c r="S58" s="179">
        <f>'Combustion (Proposed)'!Q94</f>
        <v>0.13588305882352941</v>
      </c>
      <c r="T58" s="263"/>
      <c r="U58" s="263"/>
      <c r="V58" s="263"/>
      <c r="W58" s="263"/>
      <c r="X58" s="263"/>
      <c r="Y58" s="179"/>
      <c r="Z58" s="179"/>
      <c r="AA58" s="179"/>
      <c r="AB58" s="509"/>
      <c r="AC58" s="303" t="s">
        <v>129</v>
      </c>
      <c r="AD58" s="507" t="s">
        <v>278</v>
      </c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509"/>
      <c r="AQ58" s="303" t="s">
        <v>129</v>
      </c>
      <c r="AR58" s="507" t="s">
        <v>278</v>
      </c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509"/>
      <c r="BE58" s="303" t="s">
        <v>129</v>
      </c>
      <c r="BF58" s="507" t="s">
        <v>278</v>
      </c>
      <c r="BG58" s="179"/>
      <c r="BH58" s="179"/>
      <c r="BI58" s="179"/>
      <c r="BJ58" s="179"/>
      <c r="BK58" s="179">
        <f>'Combustion (Proposed)'!O162</f>
        <v>0.17294117647058824</v>
      </c>
      <c r="BL58" s="179">
        <f>'Combustion (Proposed)'!P162</f>
        <v>0.7574823529411765</v>
      </c>
      <c r="BM58" s="179">
        <f>'Combustion (Proposed)'!Q162</f>
        <v>0.7574823529411765</v>
      </c>
      <c r="BN58" s="179"/>
      <c r="BO58" s="179"/>
      <c r="BP58" s="179"/>
      <c r="BQ58" s="179"/>
      <c r="BR58" s="509"/>
      <c r="BS58" s="303" t="s">
        <v>129</v>
      </c>
      <c r="BT58" s="507" t="s">
        <v>278</v>
      </c>
      <c r="BU58" s="179"/>
      <c r="BV58" s="179"/>
      <c r="BW58" s="179"/>
      <c r="BX58" s="179"/>
      <c r="BY58" s="179"/>
      <c r="BZ58" s="179"/>
      <c r="CA58" s="179"/>
      <c r="CB58" s="179"/>
      <c r="CC58" s="179"/>
      <c r="CD58" s="179"/>
      <c r="CE58" s="179"/>
      <c r="CF58" s="509"/>
      <c r="CG58" s="303" t="s">
        <v>129</v>
      </c>
      <c r="CH58" s="507" t="s">
        <v>278</v>
      </c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509"/>
      <c r="CU58" s="303" t="s">
        <v>129</v>
      </c>
      <c r="CV58" s="507" t="s">
        <v>278</v>
      </c>
      <c r="CW58" s="179"/>
      <c r="CX58" s="179"/>
      <c r="CY58" s="179"/>
      <c r="CZ58" s="179"/>
      <c r="DA58" s="179"/>
      <c r="DB58" s="179"/>
      <c r="DC58" s="179"/>
      <c r="DD58" s="179"/>
      <c r="DE58" s="179"/>
      <c r="DF58" s="179"/>
      <c r="DG58" s="179"/>
      <c r="DH58" s="509"/>
      <c r="DI58" s="303" t="s">
        <v>129</v>
      </c>
      <c r="DJ58" s="507" t="s">
        <v>278</v>
      </c>
      <c r="DK58" s="179"/>
      <c r="DL58" s="179"/>
      <c r="DM58" s="179"/>
      <c r="DN58" s="179"/>
      <c r="DO58" s="179"/>
      <c r="DP58" s="179"/>
      <c r="DQ58" s="179"/>
      <c r="DR58" s="179"/>
      <c r="DS58" s="179"/>
      <c r="DT58" s="179"/>
      <c r="DU58" s="179"/>
      <c r="DV58" s="509"/>
      <c r="DW58" s="303" t="s">
        <v>129</v>
      </c>
      <c r="DX58" s="507" t="s">
        <v>278</v>
      </c>
      <c r="DY58" s="179"/>
      <c r="DZ58" s="179"/>
      <c r="EA58" s="179"/>
      <c r="EB58" s="179"/>
      <c r="EC58" s="179"/>
      <c r="ED58" s="179"/>
      <c r="EE58" s="179"/>
      <c r="EF58" s="179"/>
      <c r="EG58" s="179"/>
      <c r="EH58" s="179"/>
      <c r="EI58" s="179"/>
      <c r="EJ58" s="509"/>
      <c r="EK58" s="303" t="s">
        <v>129</v>
      </c>
      <c r="EL58" s="507" t="s">
        <v>278</v>
      </c>
      <c r="EM58" s="179"/>
      <c r="EN58" s="179"/>
      <c r="EO58" s="179"/>
      <c r="EP58" s="510"/>
      <c r="EQ58" s="179"/>
      <c r="ER58" s="179"/>
      <c r="ES58" s="179"/>
      <c r="ET58" s="510"/>
      <c r="EU58" s="179"/>
      <c r="EV58" s="179"/>
      <c r="EW58" s="179"/>
      <c r="EX58" s="511"/>
      <c r="EY58" s="303" t="s">
        <v>129</v>
      </c>
      <c r="EZ58" s="507" t="s">
        <v>278</v>
      </c>
      <c r="FA58" s="179"/>
      <c r="FB58" s="179"/>
      <c r="FC58" s="179"/>
      <c r="FD58" s="510"/>
      <c r="FE58" s="179"/>
      <c r="FF58" s="179"/>
      <c r="FG58" s="179"/>
      <c r="FH58" s="510"/>
      <c r="FI58" s="179"/>
      <c r="FJ58" s="179"/>
      <c r="FK58" s="179"/>
      <c r="FL58" s="511"/>
      <c r="FM58" s="303" t="s">
        <v>129</v>
      </c>
      <c r="FN58" s="507" t="s">
        <v>278</v>
      </c>
      <c r="FO58" s="179"/>
      <c r="FP58" s="179"/>
      <c r="FQ58" s="179"/>
      <c r="FR58" s="510"/>
      <c r="FS58" s="179"/>
      <c r="FT58" s="179"/>
      <c r="FU58" s="179"/>
      <c r="FV58" s="510"/>
      <c r="FW58" s="179"/>
      <c r="FX58" s="179"/>
      <c r="FY58" s="179"/>
      <c r="FZ58" s="511"/>
    </row>
    <row r="59" spans="1:182" ht="19.350000000000001" customHeight="1" x14ac:dyDescent="0.2">
      <c r="A59" s="303" t="s">
        <v>130</v>
      </c>
      <c r="B59" s="507" t="s">
        <v>279</v>
      </c>
      <c r="C59" s="510">
        <f>'Combustion (Proposed)'!L30</f>
        <v>7.642584193421665E-8</v>
      </c>
      <c r="D59" s="510">
        <f>'Combustion (Proposed)'!M30</f>
        <v>3.3474518767186893E-7</v>
      </c>
      <c r="E59" s="510">
        <f>'Combustion (Proposed)'!N30</f>
        <v>3.3474518767186893E-7</v>
      </c>
      <c r="F59" s="263"/>
      <c r="G59" s="307"/>
      <c r="H59" s="307"/>
      <c r="I59" s="307"/>
      <c r="J59" s="263"/>
      <c r="K59" s="263"/>
      <c r="L59" s="263"/>
      <c r="M59" s="263"/>
      <c r="N59" s="508"/>
      <c r="O59" s="303" t="s">
        <v>130</v>
      </c>
      <c r="P59" s="507" t="s">
        <v>279</v>
      </c>
      <c r="Q59" s="179">
        <f>'Combustion (Proposed)'!O95</f>
        <v>3.1350999999999995E-7</v>
      </c>
      <c r="R59" s="179">
        <f>'Combustion (Proposed)'!P95</f>
        <v>1.3731737999999997E-6</v>
      </c>
      <c r="S59" s="179">
        <f>'Combustion (Proposed)'!Q95</f>
        <v>1.3731737999999997E-6</v>
      </c>
      <c r="T59" s="263"/>
      <c r="U59" s="263"/>
      <c r="V59" s="263"/>
      <c r="W59" s="263"/>
      <c r="X59" s="263"/>
      <c r="Y59" s="179"/>
      <c r="Z59" s="179"/>
      <c r="AA59" s="179"/>
      <c r="AB59" s="509"/>
      <c r="AC59" s="303" t="s">
        <v>130</v>
      </c>
      <c r="AD59" s="507" t="s">
        <v>279</v>
      </c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509"/>
      <c r="AQ59" s="303" t="s">
        <v>130</v>
      </c>
      <c r="AR59" s="507" t="s">
        <v>279</v>
      </c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509"/>
      <c r="BE59" s="303" t="s">
        <v>130</v>
      </c>
      <c r="BF59" s="507" t="s">
        <v>279</v>
      </c>
      <c r="BG59" s="179"/>
      <c r="BH59" s="179"/>
      <c r="BI59" s="179"/>
      <c r="BJ59" s="179"/>
      <c r="BK59" s="179">
        <f>'Combustion (Proposed)'!O163</f>
        <v>1.7476666666666668E-6</v>
      </c>
      <c r="BL59" s="179">
        <f>'Combustion (Proposed)'!P163</f>
        <v>7.6547800000000003E-6</v>
      </c>
      <c r="BM59" s="179">
        <f>'Combustion (Proposed)'!Q163</f>
        <v>7.6547800000000003E-6</v>
      </c>
      <c r="BN59" s="179"/>
      <c r="BO59" s="179"/>
      <c r="BP59" s="179"/>
      <c r="BQ59" s="179"/>
      <c r="BR59" s="509"/>
      <c r="BS59" s="303" t="s">
        <v>130</v>
      </c>
      <c r="BT59" s="507" t="s">
        <v>279</v>
      </c>
      <c r="BU59" s="179"/>
      <c r="BV59" s="179"/>
      <c r="BW59" s="179"/>
      <c r="BX59" s="179"/>
      <c r="BY59" s="179"/>
      <c r="BZ59" s="179"/>
      <c r="CA59" s="179"/>
      <c r="CB59" s="179"/>
      <c r="CC59" s="179"/>
      <c r="CD59" s="179"/>
      <c r="CE59" s="179"/>
      <c r="CF59" s="509"/>
      <c r="CG59" s="303" t="s">
        <v>130</v>
      </c>
      <c r="CH59" s="507" t="s">
        <v>279</v>
      </c>
      <c r="CI59" s="179"/>
      <c r="CJ59" s="179"/>
      <c r="CK59" s="179"/>
      <c r="CL59" s="179"/>
      <c r="CM59" s="179"/>
      <c r="CN59" s="179"/>
      <c r="CO59" s="179"/>
      <c r="CP59" s="179"/>
      <c r="CQ59" s="179"/>
      <c r="CR59" s="179"/>
      <c r="CS59" s="179"/>
      <c r="CT59" s="509"/>
      <c r="CU59" s="303" t="s">
        <v>130</v>
      </c>
      <c r="CV59" s="507" t="s">
        <v>279</v>
      </c>
      <c r="CW59" s="179"/>
      <c r="CX59" s="179"/>
      <c r="CY59" s="179"/>
      <c r="CZ59" s="179"/>
      <c r="DA59" s="179"/>
      <c r="DB59" s="179"/>
      <c r="DC59" s="179"/>
      <c r="DD59" s="179"/>
      <c r="DE59" s="179"/>
      <c r="DF59" s="179"/>
      <c r="DG59" s="179"/>
      <c r="DH59" s="509"/>
      <c r="DI59" s="303" t="s">
        <v>130</v>
      </c>
      <c r="DJ59" s="507" t="s">
        <v>279</v>
      </c>
      <c r="DK59" s="179"/>
      <c r="DL59" s="179"/>
      <c r="DM59" s="179"/>
      <c r="DN59" s="179"/>
      <c r="DO59" s="179"/>
      <c r="DP59" s="179"/>
      <c r="DQ59" s="179"/>
      <c r="DR59" s="179"/>
      <c r="DS59" s="179"/>
      <c r="DT59" s="179"/>
      <c r="DU59" s="179"/>
      <c r="DV59" s="509"/>
      <c r="DW59" s="303" t="s">
        <v>130</v>
      </c>
      <c r="DX59" s="507" t="s">
        <v>279</v>
      </c>
      <c r="DY59" s="179"/>
      <c r="DZ59" s="179"/>
      <c r="EA59" s="179"/>
      <c r="EB59" s="179"/>
      <c r="EC59" s="179"/>
      <c r="ED59" s="179"/>
      <c r="EE59" s="179"/>
      <c r="EF59" s="179"/>
      <c r="EG59" s="179"/>
      <c r="EH59" s="179"/>
      <c r="EI59" s="179"/>
      <c r="EJ59" s="509"/>
      <c r="EK59" s="303" t="s">
        <v>130</v>
      </c>
      <c r="EL59" s="507" t="s">
        <v>279</v>
      </c>
      <c r="EM59" s="179"/>
      <c r="EN59" s="179"/>
      <c r="EO59" s="179"/>
      <c r="EP59" s="510"/>
      <c r="EQ59" s="179"/>
      <c r="ER59" s="179"/>
      <c r="ES59" s="179"/>
      <c r="ET59" s="510"/>
      <c r="EU59" s="179"/>
      <c r="EV59" s="179"/>
      <c r="EW59" s="179"/>
      <c r="EX59" s="511"/>
      <c r="EY59" s="303" t="s">
        <v>130</v>
      </c>
      <c r="EZ59" s="507" t="s">
        <v>279</v>
      </c>
      <c r="FA59" s="179"/>
      <c r="FB59" s="179"/>
      <c r="FC59" s="179"/>
      <c r="FD59" s="510"/>
      <c r="FE59" s="179"/>
      <c r="FF59" s="179"/>
      <c r="FG59" s="179"/>
      <c r="FH59" s="510"/>
      <c r="FI59" s="179"/>
      <c r="FJ59" s="179"/>
      <c r="FK59" s="179"/>
      <c r="FL59" s="511"/>
      <c r="FM59" s="303" t="s">
        <v>130</v>
      </c>
      <c r="FN59" s="507" t="s">
        <v>279</v>
      </c>
      <c r="FO59" s="179"/>
      <c r="FP59" s="179"/>
      <c r="FQ59" s="179"/>
      <c r="FR59" s="510"/>
      <c r="FS59" s="179"/>
      <c r="FT59" s="179"/>
      <c r="FU59" s="179"/>
      <c r="FV59" s="510"/>
      <c r="FW59" s="179"/>
      <c r="FX59" s="179"/>
      <c r="FY59" s="179"/>
      <c r="FZ59" s="511"/>
    </row>
    <row r="60" spans="1:182" ht="19.350000000000001" customHeight="1" x14ac:dyDescent="0.2">
      <c r="A60" s="303" t="s">
        <v>216</v>
      </c>
      <c r="B60" s="507" t="s">
        <v>280</v>
      </c>
      <c r="C60" s="510">
        <f>'Combustion (Proposed)'!L31</f>
        <v>1.1764705882352942E-7</v>
      </c>
      <c r="D60" s="510">
        <f>'Combustion (Proposed)'!M31</f>
        <v>5.1529411764705885E-7</v>
      </c>
      <c r="E60" s="510">
        <f>'Combustion (Proposed)'!N31</f>
        <v>5.1529411764705885E-7</v>
      </c>
      <c r="F60" s="263"/>
      <c r="G60" s="307"/>
      <c r="H60" s="307"/>
      <c r="I60" s="307"/>
      <c r="J60" s="263"/>
      <c r="K60" s="263"/>
      <c r="L60" s="263"/>
      <c r="M60" s="263"/>
      <c r="N60" s="508"/>
      <c r="O60" s="303" t="s">
        <v>216</v>
      </c>
      <c r="P60" s="507" t="s">
        <v>280</v>
      </c>
      <c r="Q60" s="179">
        <f>'Combustion (Proposed)'!O96</f>
        <v>4.1364705882352939E-7</v>
      </c>
      <c r="R60" s="179">
        <f>'Combustion (Proposed)'!P96</f>
        <v>1.8117741176470586E-6</v>
      </c>
      <c r="S60" s="179">
        <f>'Combustion (Proposed)'!Q96</f>
        <v>1.8117741176470586E-6</v>
      </c>
      <c r="T60" s="263"/>
      <c r="U60" s="263"/>
      <c r="V60" s="263"/>
      <c r="W60" s="263"/>
      <c r="X60" s="263"/>
      <c r="Y60" s="179"/>
      <c r="Z60" s="179"/>
      <c r="AA60" s="179"/>
      <c r="AB60" s="509"/>
      <c r="AC60" s="303" t="s">
        <v>216</v>
      </c>
      <c r="AD60" s="507" t="s">
        <v>280</v>
      </c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509"/>
      <c r="AQ60" s="303" t="s">
        <v>216</v>
      </c>
      <c r="AR60" s="507" t="s">
        <v>280</v>
      </c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509"/>
      <c r="BE60" s="303" t="s">
        <v>216</v>
      </c>
      <c r="BF60" s="507" t="s">
        <v>280</v>
      </c>
      <c r="BG60" s="179"/>
      <c r="BH60" s="179"/>
      <c r="BI60" s="179"/>
      <c r="BJ60" s="179"/>
      <c r="BK60" s="179">
        <f>'Combustion (Proposed)'!O164</f>
        <v>2.3058823529411766E-6</v>
      </c>
      <c r="BL60" s="179">
        <f>'Combustion (Proposed)'!P164</f>
        <v>1.0099764705882353E-5</v>
      </c>
      <c r="BM60" s="179">
        <f>'Combustion (Proposed)'!Q164</f>
        <v>1.0099764705882353E-5</v>
      </c>
      <c r="BN60" s="179"/>
      <c r="BO60" s="179"/>
      <c r="BP60" s="179"/>
      <c r="BQ60" s="179"/>
      <c r="BR60" s="509"/>
      <c r="BS60" s="303" t="s">
        <v>216</v>
      </c>
      <c r="BT60" s="507" t="s">
        <v>280</v>
      </c>
      <c r="BU60" s="179"/>
      <c r="BV60" s="179"/>
      <c r="BW60" s="179"/>
      <c r="BX60" s="179"/>
      <c r="BY60" s="179"/>
      <c r="BZ60" s="179"/>
      <c r="CA60" s="179"/>
      <c r="CB60" s="179"/>
      <c r="CC60" s="179"/>
      <c r="CD60" s="179"/>
      <c r="CE60" s="179"/>
      <c r="CF60" s="509"/>
      <c r="CG60" s="303" t="s">
        <v>216</v>
      </c>
      <c r="CH60" s="507" t="s">
        <v>280</v>
      </c>
      <c r="CI60" s="179"/>
      <c r="CJ60" s="179"/>
      <c r="CK60" s="179"/>
      <c r="CL60" s="179"/>
      <c r="CM60" s="179"/>
      <c r="CN60" s="179"/>
      <c r="CO60" s="179"/>
      <c r="CP60" s="179"/>
      <c r="CQ60" s="179"/>
      <c r="CR60" s="179"/>
      <c r="CS60" s="179"/>
      <c r="CT60" s="509"/>
      <c r="CU60" s="303" t="s">
        <v>216</v>
      </c>
      <c r="CV60" s="507" t="s">
        <v>280</v>
      </c>
      <c r="CW60" s="179"/>
      <c r="CX60" s="179"/>
      <c r="CY60" s="179"/>
      <c r="CZ60" s="179"/>
      <c r="DA60" s="179"/>
      <c r="DB60" s="179"/>
      <c r="DC60" s="179"/>
      <c r="DD60" s="179"/>
      <c r="DE60" s="179"/>
      <c r="DF60" s="179"/>
      <c r="DG60" s="179"/>
      <c r="DH60" s="509"/>
      <c r="DI60" s="303" t="s">
        <v>216</v>
      </c>
      <c r="DJ60" s="507" t="s">
        <v>280</v>
      </c>
      <c r="DK60" s="179"/>
      <c r="DL60" s="179"/>
      <c r="DM60" s="179"/>
      <c r="DN60" s="179"/>
      <c r="DO60" s="179"/>
      <c r="DP60" s="179"/>
      <c r="DQ60" s="179"/>
      <c r="DR60" s="179"/>
      <c r="DS60" s="179"/>
      <c r="DT60" s="179"/>
      <c r="DU60" s="179"/>
      <c r="DV60" s="509"/>
      <c r="DW60" s="303" t="s">
        <v>216</v>
      </c>
      <c r="DX60" s="507" t="s">
        <v>280</v>
      </c>
      <c r="DY60" s="179"/>
      <c r="DZ60" s="179"/>
      <c r="EA60" s="179"/>
      <c r="EB60" s="179"/>
      <c r="EC60" s="179"/>
      <c r="ED60" s="179"/>
      <c r="EE60" s="179"/>
      <c r="EF60" s="179"/>
      <c r="EG60" s="179"/>
      <c r="EH60" s="179"/>
      <c r="EI60" s="179"/>
      <c r="EJ60" s="509"/>
      <c r="EK60" s="303" t="s">
        <v>216</v>
      </c>
      <c r="EL60" s="507" t="s">
        <v>280</v>
      </c>
      <c r="EM60" s="179"/>
      <c r="EN60" s="179"/>
      <c r="EO60" s="179"/>
      <c r="EP60" s="510"/>
      <c r="EQ60" s="179"/>
      <c r="ER60" s="179"/>
      <c r="ES60" s="179"/>
      <c r="ET60" s="510"/>
      <c r="EU60" s="179"/>
      <c r="EV60" s="179"/>
      <c r="EW60" s="179"/>
      <c r="EX60" s="511"/>
      <c r="EY60" s="303" t="s">
        <v>216</v>
      </c>
      <c r="EZ60" s="507" t="s">
        <v>280</v>
      </c>
      <c r="FA60" s="179"/>
      <c r="FB60" s="179"/>
      <c r="FC60" s="179"/>
      <c r="FD60" s="510"/>
      <c r="FE60" s="179"/>
      <c r="FF60" s="179"/>
      <c r="FG60" s="179"/>
      <c r="FH60" s="510"/>
      <c r="FI60" s="179"/>
      <c r="FJ60" s="179"/>
      <c r="FK60" s="179"/>
      <c r="FL60" s="511"/>
      <c r="FM60" s="303" t="s">
        <v>216</v>
      </c>
      <c r="FN60" s="507" t="s">
        <v>280</v>
      </c>
      <c r="FO60" s="179"/>
      <c r="FP60" s="179"/>
      <c r="FQ60" s="179"/>
      <c r="FR60" s="510"/>
      <c r="FS60" s="179"/>
      <c r="FT60" s="179"/>
      <c r="FU60" s="179"/>
      <c r="FV60" s="510"/>
      <c r="FW60" s="179"/>
      <c r="FX60" s="179"/>
      <c r="FY60" s="179"/>
      <c r="FZ60" s="511"/>
    </row>
    <row r="61" spans="1:182" s="171" customFormat="1" ht="19.350000000000001" customHeight="1" x14ac:dyDescent="0.2">
      <c r="A61" s="512"/>
      <c r="B61" s="513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512"/>
      <c r="P61" s="513"/>
      <c r="Q61" s="195"/>
      <c r="R61" s="195"/>
      <c r="S61" s="195"/>
      <c r="T61" s="195"/>
      <c r="U61" s="195"/>
      <c r="V61" s="195"/>
      <c r="W61" s="195"/>
      <c r="X61" s="195"/>
      <c r="Y61" s="514"/>
      <c r="Z61" s="514"/>
      <c r="AA61" s="514"/>
      <c r="AB61" s="514"/>
      <c r="AC61" s="512"/>
      <c r="AD61" s="513"/>
      <c r="AE61" s="514"/>
      <c r="AF61" s="514"/>
      <c r="AG61" s="514"/>
      <c r="AH61" s="514"/>
      <c r="AI61" s="514"/>
      <c r="AJ61" s="514"/>
      <c r="AK61" s="514"/>
      <c r="AL61" s="514"/>
      <c r="AM61" s="514"/>
      <c r="AN61" s="514"/>
      <c r="AO61" s="514"/>
      <c r="AP61" s="514"/>
      <c r="AQ61" s="512"/>
      <c r="AR61" s="513"/>
      <c r="AS61" s="514"/>
      <c r="AT61" s="514"/>
      <c r="AU61" s="514"/>
      <c r="AV61" s="514"/>
      <c r="AW61" s="514"/>
      <c r="AX61" s="514"/>
      <c r="AY61" s="514"/>
      <c r="AZ61" s="514"/>
      <c r="BA61" s="514"/>
      <c r="BB61" s="514"/>
      <c r="BC61" s="514"/>
      <c r="BD61" s="514"/>
      <c r="BE61" s="512"/>
      <c r="BF61" s="513"/>
      <c r="BG61" s="514"/>
      <c r="BH61" s="514"/>
      <c r="BI61" s="514"/>
      <c r="BJ61" s="514"/>
      <c r="BK61" s="514"/>
      <c r="BL61" s="514"/>
      <c r="BM61" s="514"/>
      <c r="BN61" s="514"/>
      <c r="BO61" s="514"/>
      <c r="BP61" s="514"/>
      <c r="BQ61" s="514"/>
      <c r="BR61" s="514"/>
      <c r="BS61" s="512"/>
      <c r="BT61" s="513"/>
      <c r="BU61" s="514"/>
      <c r="BV61" s="514"/>
      <c r="BW61" s="514"/>
      <c r="BX61" s="514"/>
      <c r="BY61" s="514"/>
      <c r="BZ61" s="514"/>
      <c r="CA61" s="514"/>
      <c r="CB61" s="514"/>
      <c r="CC61" s="514"/>
      <c r="CD61" s="514"/>
      <c r="CE61" s="514"/>
      <c r="CF61" s="514"/>
      <c r="CG61" s="512"/>
      <c r="CH61" s="513"/>
      <c r="CI61" s="514"/>
      <c r="CJ61" s="514"/>
      <c r="CK61" s="514"/>
      <c r="CL61" s="514"/>
      <c r="CM61" s="514"/>
      <c r="CN61" s="514"/>
      <c r="CO61" s="514"/>
      <c r="CP61" s="514"/>
      <c r="CQ61" s="514"/>
      <c r="CR61" s="514"/>
      <c r="CS61" s="514"/>
      <c r="CT61" s="514"/>
      <c r="CU61" s="512"/>
      <c r="CV61" s="513"/>
      <c r="CW61" s="514"/>
      <c r="CX61" s="514"/>
      <c r="CY61" s="514"/>
      <c r="CZ61" s="514"/>
      <c r="DA61" s="514"/>
      <c r="DB61" s="514"/>
      <c r="DC61" s="514"/>
      <c r="DD61" s="514"/>
      <c r="DE61" s="514"/>
      <c r="DF61" s="514"/>
      <c r="DG61" s="514"/>
      <c r="DH61" s="514"/>
      <c r="DI61" s="512"/>
      <c r="DJ61" s="513"/>
      <c r="DK61" s="514"/>
      <c r="DL61" s="514"/>
      <c r="DM61" s="514"/>
      <c r="DN61" s="514"/>
      <c r="DO61" s="514"/>
      <c r="DP61" s="514"/>
      <c r="DQ61" s="514"/>
      <c r="DR61" s="514"/>
      <c r="DS61" s="514"/>
      <c r="DT61" s="514"/>
      <c r="DU61" s="514"/>
      <c r="DV61" s="514"/>
      <c r="DW61" s="512"/>
      <c r="DX61" s="513"/>
      <c r="DY61" s="514"/>
      <c r="DZ61" s="514"/>
      <c r="EA61" s="514"/>
      <c r="EB61" s="514"/>
      <c r="EC61" s="514"/>
      <c r="ED61" s="514"/>
      <c r="EE61" s="514"/>
      <c r="EF61" s="514"/>
      <c r="EG61" s="514"/>
      <c r="EH61" s="514"/>
      <c r="EI61" s="514"/>
      <c r="EJ61" s="514"/>
      <c r="EK61" s="512"/>
      <c r="EL61" s="513"/>
      <c r="EM61" s="514"/>
      <c r="EN61" s="514"/>
      <c r="EO61" s="514"/>
      <c r="EP61" s="514"/>
      <c r="EQ61" s="514"/>
      <c r="ER61" s="514"/>
      <c r="ES61" s="514"/>
      <c r="ET61" s="514"/>
      <c r="EU61" s="514"/>
      <c r="EV61" s="514"/>
      <c r="EW61" s="514"/>
      <c r="EX61" s="514"/>
      <c r="EY61" s="512"/>
      <c r="EZ61" s="513"/>
      <c r="FA61" s="514"/>
      <c r="FB61" s="514"/>
      <c r="FC61" s="514"/>
      <c r="FD61" s="514"/>
      <c r="FE61" s="514"/>
      <c r="FF61" s="514"/>
      <c r="FG61" s="514"/>
      <c r="FH61" s="514"/>
      <c r="FI61" s="514"/>
      <c r="FJ61" s="514"/>
      <c r="FK61" s="514"/>
      <c r="FL61" s="514"/>
      <c r="FM61" s="512"/>
      <c r="FN61" s="513"/>
      <c r="FO61" s="514"/>
      <c r="FP61" s="514"/>
      <c r="FQ61" s="514"/>
      <c r="FR61" s="514"/>
      <c r="FS61" s="514"/>
      <c r="FT61" s="514"/>
      <c r="FU61" s="514"/>
      <c r="FV61" s="514"/>
      <c r="FW61" s="514"/>
      <c r="FX61" s="514"/>
      <c r="FY61" s="514"/>
      <c r="FZ61" s="514"/>
    </row>
    <row r="62" spans="1:182" s="171" customFormat="1" ht="19.350000000000001" customHeight="1" x14ac:dyDescent="0.2">
      <c r="A62" s="512"/>
      <c r="B62" s="513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512"/>
      <c r="P62" s="513"/>
      <c r="Q62" s="195"/>
      <c r="R62" s="195"/>
      <c r="S62" s="195"/>
      <c r="T62" s="195"/>
      <c r="U62" s="195"/>
      <c r="V62" s="195"/>
      <c r="W62" s="195"/>
      <c r="X62" s="195"/>
      <c r="Y62" s="514"/>
      <c r="Z62" s="514"/>
      <c r="AA62" s="514"/>
      <c r="AB62" s="514"/>
      <c r="AC62" s="512"/>
      <c r="AD62" s="513"/>
      <c r="AE62" s="514"/>
      <c r="AF62" s="514"/>
      <c r="AG62" s="514"/>
      <c r="AH62" s="514"/>
      <c r="AI62" s="514"/>
      <c r="AJ62" s="514"/>
      <c r="AK62" s="514"/>
      <c r="AL62" s="514"/>
      <c r="AM62" s="514"/>
      <c r="AN62" s="514"/>
      <c r="AO62" s="514"/>
      <c r="AP62" s="514"/>
      <c r="AQ62" s="512"/>
      <c r="AR62" s="513"/>
      <c r="AS62" s="514"/>
      <c r="AT62" s="514"/>
      <c r="AU62" s="514"/>
      <c r="AV62" s="514"/>
      <c r="AW62" s="514"/>
      <c r="AX62" s="514"/>
      <c r="AY62" s="514"/>
      <c r="AZ62" s="514"/>
      <c r="BA62" s="514"/>
      <c r="BB62" s="514"/>
      <c r="BC62" s="514"/>
      <c r="BD62" s="514"/>
      <c r="BE62" s="512"/>
      <c r="BF62" s="513"/>
      <c r="BG62" s="514"/>
      <c r="BH62" s="514"/>
      <c r="BI62" s="514"/>
      <c r="BJ62" s="514"/>
      <c r="BK62" s="514"/>
      <c r="BL62" s="514"/>
      <c r="BM62" s="514"/>
      <c r="BN62" s="514"/>
      <c r="BO62" s="514"/>
      <c r="BP62" s="514"/>
      <c r="BQ62" s="514"/>
      <c r="BR62" s="514"/>
      <c r="BS62" s="512"/>
      <c r="BT62" s="513"/>
      <c r="BU62" s="514"/>
      <c r="BV62" s="514"/>
      <c r="BW62" s="514"/>
      <c r="BX62" s="514"/>
      <c r="BY62" s="514"/>
      <c r="BZ62" s="514"/>
      <c r="CA62" s="514"/>
      <c r="CB62" s="514"/>
      <c r="CC62" s="514"/>
      <c r="CD62" s="514"/>
      <c r="CE62" s="514"/>
      <c r="CF62" s="514"/>
      <c r="CG62" s="512"/>
      <c r="CH62" s="513"/>
      <c r="CI62" s="514"/>
      <c r="CJ62" s="514"/>
      <c r="CK62" s="514"/>
      <c r="CL62" s="514"/>
      <c r="CM62" s="514"/>
      <c r="CN62" s="514"/>
      <c r="CO62" s="514"/>
      <c r="CP62" s="514"/>
      <c r="CQ62" s="514"/>
      <c r="CR62" s="514"/>
      <c r="CS62" s="514"/>
      <c r="CT62" s="514"/>
      <c r="CU62" s="512"/>
      <c r="CV62" s="513"/>
      <c r="CW62" s="514"/>
      <c r="CX62" s="514"/>
      <c r="CY62" s="514"/>
      <c r="CZ62" s="514"/>
      <c r="DA62" s="514"/>
      <c r="DB62" s="514"/>
      <c r="DC62" s="514"/>
      <c r="DD62" s="514"/>
      <c r="DE62" s="514"/>
      <c r="DF62" s="514"/>
      <c r="DG62" s="514"/>
      <c r="DH62" s="514"/>
      <c r="DI62" s="512"/>
      <c r="DJ62" s="513"/>
      <c r="DK62" s="514"/>
      <c r="DL62" s="514"/>
      <c r="DM62" s="514"/>
      <c r="DN62" s="514"/>
      <c r="DO62" s="514"/>
      <c r="DP62" s="514"/>
      <c r="DQ62" s="514"/>
      <c r="DR62" s="514"/>
      <c r="DS62" s="514"/>
      <c r="DT62" s="514"/>
      <c r="DU62" s="514"/>
      <c r="DV62" s="514"/>
      <c r="DW62" s="512"/>
      <c r="DX62" s="513"/>
      <c r="DY62" s="514"/>
      <c r="DZ62" s="514"/>
      <c r="EA62" s="514"/>
      <c r="EB62" s="514"/>
      <c r="EC62" s="514"/>
      <c r="ED62" s="514"/>
      <c r="EE62" s="514"/>
      <c r="EF62" s="514"/>
      <c r="EG62" s="514"/>
      <c r="EH62" s="514"/>
      <c r="EI62" s="514"/>
      <c r="EJ62" s="514"/>
      <c r="EK62" s="512"/>
      <c r="EL62" s="513"/>
      <c r="EM62" s="514"/>
      <c r="EN62" s="514"/>
      <c r="EO62" s="514"/>
      <c r="EP62" s="514"/>
      <c r="EQ62" s="514"/>
      <c r="ER62" s="514"/>
      <c r="ES62" s="514"/>
      <c r="ET62" s="514"/>
      <c r="EU62" s="514"/>
      <c r="EV62" s="514"/>
      <c r="EW62" s="514"/>
      <c r="EX62" s="514"/>
      <c r="EY62" s="512"/>
      <c r="EZ62" s="513"/>
      <c r="FA62" s="514"/>
      <c r="FB62" s="514"/>
      <c r="FC62" s="514"/>
      <c r="FD62" s="514"/>
      <c r="FE62" s="514"/>
      <c r="FF62" s="514"/>
      <c r="FG62" s="514"/>
      <c r="FH62" s="514"/>
      <c r="FI62" s="514"/>
      <c r="FJ62" s="514"/>
      <c r="FK62" s="514"/>
      <c r="FL62" s="514"/>
      <c r="FM62" s="512"/>
      <c r="FN62" s="513"/>
      <c r="FO62" s="514"/>
      <c r="FP62" s="514"/>
      <c r="FQ62" s="514"/>
      <c r="FR62" s="514"/>
      <c r="FS62" s="514"/>
      <c r="FT62" s="514"/>
      <c r="FU62" s="514"/>
      <c r="FV62" s="514"/>
      <c r="FW62" s="514"/>
      <c r="FX62" s="514"/>
      <c r="FY62" s="514"/>
      <c r="FZ62" s="514"/>
    </row>
    <row r="63" spans="1:182" s="171" customFormat="1" ht="19.350000000000001" customHeight="1" x14ac:dyDescent="0.2">
      <c r="A63" s="512"/>
      <c r="B63" s="513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512"/>
      <c r="P63" s="513"/>
      <c r="Q63" s="195"/>
      <c r="R63" s="195"/>
      <c r="S63" s="195"/>
      <c r="T63" s="195"/>
      <c r="U63" s="195"/>
      <c r="V63" s="195"/>
      <c r="W63" s="195"/>
      <c r="X63" s="195"/>
      <c r="Y63" s="514"/>
      <c r="Z63" s="514"/>
      <c r="AA63" s="514"/>
      <c r="AB63" s="514"/>
      <c r="AC63" s="512"/>
      <c r="AD63" s="513"/>
      <c r="AE63" s="514"/>
      <c r="AF63" s="514"/>
      <c r="AG63" s="514"/>
      <c r="AH63" s="514"/>
      <c r="AI63" s="514"/>
      <c r="AJ63" s="514"/>
      <c r="AK63" s="514"/>
      <c r="AL63" s="514"/>
      <c r="AM63" s="514"/>
      <c r="AN63" s="514"/>
      <c r="AO63" s="514"/>
      <c r="AP63" s="514"/>
      <c r="AQ63" s="512"/>
      <c r="AR63" s="513"/>
      <c r="AS63" s="514"/>
      <c r="AT63" s="514"/>
      <c r="AU63" s="514"/>
      <c r="AV63" s="514"/>
      <c r="AW63" s="514"/>
      <c r="AX63" s="514"/>
      <c r="AY63" s="514"/>
      <c r="AZ63" s="514"/>
      <c r="BA63" s="514"/>
      <c r="BB63" s="514"/>
      <c r="BC63" s="514"/>
      <c r="BD63" s="514"/>
      <c r="BE63" s="512"/>
      <c r="BF63" s="513"/>
      <c r="BG63" s="514"/>
      <c r="BH63" s="514"/>
      <c r="BI63" s="514"/>
      <c r="BJ63" s="514"/>
      <c r="BK63" s="514"/>
      <c r="BL63" s="514"/>
      <c r="BM63" s="514"/>
      <c r="BN63" s="514"/>
      <c r="BO63" s="514"/>
      <c r="BP63" s="514"/>
      <c r="BQ63" s="514"/>
      <c r="BR63" s="514"/>
      <c r="BS63" s="512"/>
      <c r="BT63" s="513"/>
      <c r="BU63" s="514"/>
      <c r="BV63" s="514"/>
      <c r="BW63" s="514"/>
      <c r="BX63" s="514"/>
      <c r="BY63" s="514"/>
      <c r="BZ63" s="514"/>
      <c r="CA63" s="514"/>
      <c r="CB63" s="514"/>
      <c r="CC63" s="514"/>
      <c r="CD63" s="514"/>
      <c r="CE63" s="514"/>
      <c r="CF63" s="514"/>
      <c r="CG63" s="512"/>
      <c r="CH63" s="513"/>
      <c r="CI63" s="514"/>
      <c r="CJ63" s="514"/>
      <c r="CK63" s="514"/>
      <c r="CL63" s="514"/>
      <c r="CM63" s="514"/>
      <c r="CN63" s="514"/>
      <c r="CO63" s="514"/>
      <c r="CP63" s="514"/>
      <c r="CQ63" s="514"/>
      <c r="CR63" s="514"/>
      <c r="CS63" s="514"/>
      <c r="CT63" s="514"/>
      <c r="CU63" s="512"/>
      <c r="CV63" s="513"/>
      <c r="CW63" s="514"/>
      <c r="CX63" s="514"/>
      <c r="CY63" s="514"/>
      <c r="CZ63" s="514"/>
      <c r="DA63" s="514"/>
      <c r="DB63" s="514"/>
      <c r="DC63" s="514"/>
      <c r="DD63" s="514"/>
      <c r="DE63" s="514"/>
      <c r="DF63" s="514"/>
      <c r="DG63" s="514"/>
      <c r="DH63" s="514"/>
      <c r="DI63" s="512"/>
      <c r="DJ63" s="513"/>
      <c r="DK63" s="514"/>
      <c r="DL63" s="514"/>
      <c r="DM63" s="514"/>
      <c r="DN63" s="514"/>
      <c r="DO63" s="514"/>
      <c r="DP63" s="514"/>
      <c r="DQ63" s="514"/>
      <c r="DR63" s="514"/>
      <c r="DS63" s="514"/>
      <c r="DT63" s="514"/>
      <c r="DU63" s="514"/>
      <c r="DV63" s="514"/>
      <c r="DW63" s="512"/>
      <c r="DX63" s="513"/>
      <c r="DY63" s="514"/>
      <c r="DZ63" s="514"/>
      <c r="EA63" s="514"/>
      <c r="EB63" s="514"/>
      <c r="EC63" s="514"/>
      <c r="ED63" s="514"/>
      <c r="EE63" s="514"/>
      <c r="EF63" s="514"/>
      <c r="EG63" s="514"/>
      <c r="EH63" s="514"/>
      <c r="EI63" s="514"/>
      <c r="EJ63" s="514"/>
      <c r="EK63" s="512"/>
      <c r="EL63" s="513"/>
      <c r="EM63" s="514"/>
      <c r="EN63" s="514"/>
      <c r="EO63" s="514"/>
      <c r="EP63" s="514"/>
      <c r="EQ63" s="514"/>
      <c r="ER63" s="514"/>
      <c r="ES63" s="514"/>
      <c r="ET63" s="514"/>
      <c r="EU63" s="514"/>
      <c r="EV63" s="514"/>
      <c r="EW63" s="514"/>
      <c r="EX63" s="514"/>
      <c r="EY63" s="512"/>
      <c r="EZ63" s="513"/>
      <c r="FA63" s="514"/>
      <c r="FB63" s="514"/>
      <c r="FC63" s="514"/>
      <c r="FD63" s="514"/>
      <c r="FE63" s="514"/>
      <c r="FF63" s="514"/>
      <c r="FG63" s="514"/>
      <c r="FH63" s="514"/>
      <c r="FI63" s="514"/>
      <c r="FJ63" s="514"/>
      <c r="FK63" s="514"/>
      <c r="FL63" s="514"/>
      <c r="FM63" s="512"/>
      <c r="FN63" s="513"/>
      <c r="FO63" s="514"/>
      <c r="FP63" s="514"/>
      <c r="FQ63" s="514"/>
      <c r="FR63" s="514"/>
      <c r="FS63" s="514"/>
      <c r="FT63" s="514"/>
      <c r="FU63" s="514"/>
      <c r="FV63" s="514"/>
      <c r="FW63" s="514"/>
      <c r="FX63" s="514"/>
      <c r="FY63" s="514"/>
      <c r="FZ63" s="514"/>
    </row>
    <row r="64" spans="1:182" s="171" customFormat="1" ht="19.350000000000001" customHeight="1" x14ac:dyDescent="0.2">
      <c r="A64" s="512"/>
      <c r="B64" s="513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512"/>
      <c r="P64" s="513"/>
      <c r="Q64" s="195"/>
      <c r="R64" s="195"/>
      <c r="S64" s="195"/>
      <c r="T64" s="195"/>
      <c r="U64" s="195"/>
      <c r="V64" s="195"/>
      <c r="W64" s="195"/>
      <c r="X64" s="195"/>
      <c r="Y64" s="514"/>
      <c r="Z64" s="514"/>
      <c r="AA64" s="514"/>
      <c r="AB64" s="514"/>
      <c r="AC64" s="512"/>
      <c r="AD64" s="513"/>
      <c r="AE64" s="514"/>
      <c r="AF64" s="514"/>
      <c r="AG64" s="514"/>
      <c r="AH64" s="514"/>
      <c r="AI64" s="514"/>
      <c r="AJ64" s="514"/>
      <c r="AK64" s="514"/>
      <c r="AL64" s="514"/>
      <c r="AM64" s="514"/>
      <c r="AN64" s="514"/>
      <c r="AO64" s="514"/>
      <c r="AP64" s="514"/>
      <c r="AQ64" s="512"/>
      <c r="AR64" s="513"/>
      <c r="AS64" s="514"/>
      <c r="AT64" s="514"/>
      <c r="AU64" s="514"/>
      <c r="AV64" s="514"/>
      <c r="AW64" s="514"/>
      <c r="AX64" s="514"/>
      <c r="AY64" s="514"/>
      <c r="AZ64" s="514"/>
      <c r="BA64" s="514"/>
      <c r="BB64" s="514"/>
      <c r="BC64" s="514"/>
      <c r="BD64" s="514"/>
      <c r="BE64" s="512"/>
      <c r="BF64" s="513"/>
      <c r="BG64" s="514"/>
      <c r="BH64" s="514"/>
      <c r="BI64" s="514"/>
      <c r="BJ64" s="514"/>
      <c r="BK64" s="514"/>
      <c r="BL64" s="514"/>
      <c r="BM64" s="514"/>
      <c r="BN64" s="514"/>
      <c r="BO64" s="514"/>
      <c r="BP64" s="514"/>
      <c r="BQ64" s="514"/>
      <c r="BR64" s="514"/>
      <c r="BS64" s="512"/>
      <c r="BT64" s="513"/>
      <c r="BU64" s="514"/>
      <c r="BV64" s="514"/>
      <c r="BW64" s="514"/>
      <c r="BX64" s="514"/>
      <c r="BY64" s="514"/>
      <c r="BZ64" s="514"/>
      <c r="CA64" s="514"/>
      <c r="CB64" s="514"/>
      <c r="CC64" s="514"/>
      <c r="CD64" s="514"/>
      <c r="CE64" s="514"/>
      <c r="CF64" s="514"/>
      <c r="CG64" s="512"/>
      <c r="CH64" s="513"/>
      <c r="CI64" s="514"/>
      <c r="CJ64" s="514"/>
      <c r="CK64" s="514"/>
      <c r="CL64" s="514"/>
      <c r="CM64" s="514"/>
      <c r="CN64" s="514"/>
      <c r="CO64" s="514"/>
      <c r="CP64" s="514"/>
      <c r="CQ64" s="514"/>
      <c r="CR64" s="514"/>
      <c r="CS64" s="514"/>
      <c r="CT64" s="514"/>
      <c r="CU64" s="512"/>
      <c r="CV64" s="513"/>
      <c r="CW64" s="514"/>
      <c r="CX64" s="514"/>
      <c r="CY64" s="514"/>
      <c r="CZ64" s="514"/>
      <c r="DA64" s="514"/>
      <c r="DB64" s="514"/>
      <c r="DC64" s="514"/>
      <c r="DD64" s="514"/>
      <c r="DE64" s="514"/>
      <c r="DF64" s="514"/>
      <c r="DG64" s="514"/>
      <c r="DH64" s="514"/>
      <c r="DI64" s="512"/>
      <c r="DJ64" s="513"/>
      <c r="DK64" s="514"/>
      <c r="DL64" s="514"/>
      <c r="DM64" s="514"/>
      <c r="DN64" s="514"/>
      <c r="DO64" s="514"/>
      <c r="DP64" s="514"/>
      <c r="DQ64" s="514"/>
      <c r="DR64" s="514"/>
      <c r="DS64" s="514"/>
      <c r="DT64" s="514"/>
      <c r="DU64" s="514"/>
      <c r="DV64" s="514"/>
      <c r="DW64" s="512"/>
      <c r="DX64" s="513"/>
      <c r="DY64" s="514"/>
      <c r="DZ64" s="514"/>
      <c r="EA64" s="514"/>
      <c r="EB64" s="514"/>
      <c r="EC64" s="514"/>
      <c r="ED64" s="514"/>
      <c r="EE64" s="514"/>
      <c r="EF64" s="514"/>
      <c r="EG64" s="514"/>
      <c r="EH64" s="514"/>
      <c r="EI64" s="514"/>
      <c r="EJ64" s="514"/>
      <c r="EK64" s="512"/>
      <c r="EL64" s="513"/>
      <c r="EM64" s="514"/>
      <c r="EN64" s="514"/>
      <c r="EO64" s="514"/>
      <c r="EP64" s="514"/>
      <c r="EQ64" s="514"/>
      <c r="ER64" s="514"/>
      <c r="ES64" s="514"/>
      <c r="ET64" s="514"/>
      <c r="EU64" s="514"/>
      <c r="EV64" s="514"/>
      <c r="EW64" s="514"/>
      <c r="EX64" s="514"/>
      <c r="EY64" s="512"/>
      <c r="EZ64" s="513"/>
      <c r="FA64" s="514"/>
      <c r="FB64" s="514"/>
      <c r="FC64" s="514"/>
      <c r="FD64" s="514"/>
      <c r="FE64" s="514"/>
      <c r="FF64" s="514"/>
      <c r="FG64" s="514"/>
      <c r="FH64" s="514"/>
      <c r="FI64" s="514"/>
      <c r="FJ64" s="514"/>
      <c r="FK64" s="514"/>
      <c r="FL64" s="514"/>
      <c r="FM64" s="512"/>
      <c r="FN64" s="513"/>
      <c r="FO64" s="514"/>
      <c r="FP64" s="514"/>
      <c r="FQ64" s="514"/>
      <c r="FR64" s="514"/>
      <c r="FS64" s="514"/>
      <c r="FT64" s="514"/>
      <c r="FU64" s="514"/>
      <c r="FV64" s="514"/>
      <c r="FW64" s="514"/>
      <c r="FX64" s="514"/>
      <c r="FY64" s="514"/>
      <c r="FZ64" s="514"/>
    </row>
    <row r="65" spans="1:182" ht="18" x14ac:dyDescent="0.25">
      <c r="A65" s="476"/>
      <c r="B65" s="476"/>
      <c r="C65" s="476"/>
      <c r="D65" s="476"/>
      <c r="E65" s="476"/>
      <c r="F65" s="476"/>
      <c r="G65" s="476"/>
      <c r="H65" s="476"/>
      <c r="I65" s="476"/>
      <c r="J65" s="476"/>
      <c r="K65" s="476"/>
      <c r="L65" s="476"/>
      <c r="M65" s="476"/>
      <c r="N65" s="476"/>
      <c r="O65" s="476"/>
      <c r="P65" s="476"/>
      <c r="Q65" s="476"/>
      <c r="R65" s="476"/>
      <c r="S65" s="476"/>
      <c r="T65" s="476"/>
      <c r="U65" s="476"/>
      <c r="V65" s="476"/>
      <c r="W65" s="476"/>
      <c r="X65" s="476"/>
      <c r="Y65" s="476"/>
      <c r="Z65" s="476"/>
      <c r="AA65" s="476"/>
      <c r="AB65" s="476"/>
      <c r="AC65" s="476"/>
      <c r="AD65" s="476"/>
      <c r="AE65" s="476"/>
      <c r="AF65" s="476"/>
      <c r="AG65" s="476"/>
      <c r="AH65" s="476"/>
      <c r="AI65" s="476"/>
      <c r="AJ65" s="476"/>
      <c r="AK65" s="476"/>
      <c r="AL65" s="476"/>
      <c r="AM65" s="476"/>
      <c r="AN65" s="476"/>
      <c r="AO65" s="476"/>
      <c r="AP65" s="476"/>
      <c r="AQ65" s="476"/>
      <c r="AR65" s="476"/>
      <c r="AS65" s="476"/>
      <c r="AT65" s="476"/>
      <c r="AU65" s="476"/>
      <c r="AV65" s="476"/>
      <c r="AW65" s="476"/>
      <c r="AX65" s="476"/>
      <c r="AY65" s="476"/>
      <c r="AZ65" s="476"/>
      <c r="BA65" s="476"/>
      <c r="BB65" s="476"/>
      <c r="BC65" s="476"/>
      <c r="BD65" s="476"/>
      <c r="BE65" s="476"/>
      <c r="BF65" s="476"/>
      <c r="BG65" s="476"/>
      <c r="BH65" s="476"/>
      <c r="BI65" s="476"/>
      <c r="BJ65" s="476"/>
      <c r="BK65" s="476"/>
      <c r="BL65" s="476"/>
      <c r="BM65" s="476"/>
      <c r="BN65" s="476"/>
      <c r="BO65" s="476"/>
      <c r="BP65" s="476"/>
      <c r="BQ65" s="476"/>
      <c r="BR65" s="476"/>
      <c r="BS65" s="476"/>
      <c r="BT65" s="476"/>
      <c r="BU65" s="476"/>
      <c r="BV65" s="476"/>
      <c r="BW65" s="476"/>
      <c r="BX65" s="476"/>
      <c r="BY65" s="476"/>
      <c r="BZ65" s="476"/>
      <c r="CA65" s="476"/>
      <c r="CB65" s="476"/>
      <c r="CC65" s="476"/>
      <c r="CD65" s="476"/>
      <c r="CE65" s="476"/>
      <c r="CF65" s="476"/>
      <c r="CG65" s="476"/>
      <c r="CH65" s="476"/>
      <c r="CI65" s="476"/>
      <c r="CJ65" s="476"/>
      <c r="CK65" s="476"/>
      <c r="CL65" s="476"/>
      <c r="CM65" s="476"/>
      <c r="CN65" s="476"/>
      <c r="CO65" s="476"/>
      <c r="CP65" s="476"/>
      <c r="CQ65" s="476"/>
      <c r="CR65" s="476"/>
      <c r="CS65" s="476"/>
      <c r="CT65" s="476"/>
      <c r="CU65" s="476"/>
      <c r="CV65" s="476"/>
      <c r="CW65" s="476"/>
      <c r="CX65" s="476"/>
      <c r="CY65" s="476"/>
      <c r="CZ65" s="476"/>
      <c r="DA65" s="476"/>
      <c r="DB65" s="476"/>
      <c r="DC65" s="476"/>
      <c r="DD65" s="476"/>
      <c r="DE65" s="476"/>
      <c r="DF65" s="476"/>
      <c r="DG65" s="476"/>
      <c r="DH65" s="476"/>
      <c r="DI65" s="476"/>
      <c r="DJ65" s="476"/>
      <c r="DK65" s="476"/>
      <c r="DL65" s="476"/>
      <c r="DM65" s="476"/>
      <c r="DN65" s="476"/>
      <c r="DO65" s="476"/>
      <c r="DP65" s="476"/>
      <c r="DQ65" s="476"/>
      <c r="DR65" s="476"/>
      <c r="DS65" s="476"/>
      <c r="DT65" s="476"/>
      <c r="DU65" s="476"/>
      <c r="DV65" s="476"/>
      <c r="DW65" s="476"/>
      <c r="DX65" s="476"/>
      <c r="DY65" s="476"/>
      <c r="DZ65" s="476"/>
      <c r="EA65" s="476"/>
      <c r="EB65" s="476"/>
      <c r="EC65" s="476"/>
      <c r="ED65" s="476"/>
      <c r="EE65" s="476"/>
      <c r="EF65" s="476"/>
      <c r="EG65" s="476"/>
      <c r="EH65" s="476"/>
      <c r="EI65" s="476"/>
      <c r="EJ65" s="476"/>
      <c r="EK65" s="476"/>
      <c r="EL65" s="476"/>
      <c r="EM65" s="476"/>
      <c r="EN65" s="476"/>
      <c r="EO65" s="476"/>
      <c r="EP65" s="476"/>
      <c r="EQ65" s="476"/>
      <c r="ER65" s="476"/>
      <c r="ES65" s="476"/>
      <c r="ET65" s="476"/>
      <c r="EU65" s="476"/>
      <c r="EV65" s="476"/>
      <c r="EW65" s="476"/>
      <c r="EX65" s="476"/>
      <c r="EY65" s="476"/>
      <c r="EZ65" s="476"/>
      <c r="FA65" s="476"/>
      <c r="FB65" s="476"/>
      <c r="FC65" s="476"/>
      <c r="FD65" s="476"/>
      <c r="FE65" s="476"/>
      <c r="FF65" s="476"/>
      <c r="FG65" s="476"/>
      <c r="FH65" s="476"/>
      <c r="FI65" s="476"/>
      <c r="FJ65" s="476"/>
      <c r="FK65" s="476"/>
      <c r="FL65" s="476"/>
      <c r="FM65" s="476"/>
      <c r="FN65" s="476"/>
      <c r="FO65" s="476"/>
      <c r="FP65" s="476"/>
      <c r="FQ65" s="476"/>
      <c r="FR65" s="476"/>
      <c r="FS65" s="476"/>
      <c r="FT65" s="476"/>
      <c r="FU65" s="476"/>
      <c r="FV65" s="476"/>
      <c r="FW65" s="476"/>
      <c r="FX65" s="476"/>
      <c r="FY65" s="476"/>
      <c r="FZ65" s="476"/>
    </row>
    <row r="66" spans="1:182" ht="15.75" x14ac:dyDescent="0.25">
      <c r="A66" s="477"/>
      <c r="B66" s="477"/>
      <c r="C66" s="477"/>
      <c r="D66" s="477"/>
      <c r="E66" s="477"/>
      <c r="F66" s="477"/>
      <c r="G66" s="477"/>
      <c r="H66" s="477"/>
      <c r="I66" s="477"/>
      <c r="J66" s="477"/>
      <c r="K66" s="477"/>
      <c r="L66" s="477"/>
      <c r="M66" s="477"/>
      <c r="N66" s="477"/>
      <c r="O66" s="477"/>
      <c r="P66" s="477"/>
      <c r="Q66" s="477"/>
      <c r="R66" s="477"/>
      <c r="S66" s="477"/>
      <c r="T66" s="477"/>
      <c r="U66" s="477"/>
      <c r="V66" s="477"/>
      <c r="W66" s="477"/>
      <c r="X66" s="477"/>
      <c r="Y66" s="477"/>
      <c r="Z66" s="477"/>
      <c r="AA66" s="477"/>
      <c r="AB66" s="477"/>
      <c r="AC66" s="477"/>
      <c r="AD66" s="477"/>
      <c r="AE66" s="477"/>
      <c r="AF66" s="477"/>
      <c r="AG66" s="477"/>
      <c r="AH66" s="477"/>
      <c r="AI66" s="477"/>
      <c r="AJ66" s="477"/>
      <c r="AK66" s="477"/>
      <c r="AL66" s="477"/>
      <c r="AM66" s="477"/>
      <c r="AN66" s="477"/>
      <c r="AO66" s="477"/>
      <c r="AP66" s="477"/>
      <c r="AQ66" s="477"/>
      <c r="AR66" s="477"/>
      <c r="AS66" s="477"/>
      <c r="AT66" s="477"/>
      <c r="AU66" s="477"/>
      <c r="AV66" s="477"/>
      <c r="AW66" s="477"/>
      <c r="AX66" s="477"/>
      <c r="AY66" s="477"/>
      <c r="AZ66" s="477"/>
      <c r="BA66" s="477"/>
      <c r="BB66" s="477"/>
      <c r="BC66" s="477"/>
      <c r="BD66" s="477"/>
      <c r="BE66" s="477"/>
      <c r="BF66" s="477"/>
      <c r="BG66" s="477"/>
      <c r="BH66" s="477"/>
      <c r="BI66" s="477"/>
      <c r="BJ66" s="477"/>
      <c r="BK66" s="477"/>
      <c r="BL66" s="477"/>
      <c r="BM66" s="477"/>
      <c r="BN66" s="477"/>
      <c r="BO66" s="477"/>
      <c r="BP66" s="477"/>
      <c r="BQ66" s="477"/>
      <c r="BR66" s="477"/>
      <c r="BS66" s="477"/>
      <c r="BT66" s="477"/>
      <c r="BU66" s="477"/>
      <c r="BV66" s="477"/>
      <c r="BW66" s="477"/>
      <c r="BX66" s="477"/>
      <c r="BY66" s="477"/>
      <c r="BZ66" s="477"/>
      <c r="CA66" s="477"/>
      <c r="CB66" s="477"/>
      <c r="CC66" s="477"/>
      <c r="CD66" s="477"/>
      <c r="CE66" s="477"/>
      <c r="CF66" s="477"/>
      <c r="CG66" s="477"/>
      <c r="CH66" s="477"/>
      <c r="CI66" s="477"/>
      <c r="CJ66" s="477"/>
      <c r="CK66" s="477"/>
      <c r="CL66" s="477"/>
      <c r="CM66" s="477"/>
      <c r="CN66" s="477"/>
      <c r="CO66" s="477"/>
      <c r="CP66" s="477"/>
      <c r="CQ66" s="477"/>
      <c r="CR66" s="477"/>
      <c r="CS66" s="477"/>
      <c r="CT66" s="477"/>
      <c r="CU66" s="477"/>
      <c r="CV66" s="477"/>
      <c r="CW66" s="477"/>
      <c r="CX66" s="477"/>
      <c r="CY66" s="477"/>
      <c r="CZ66" s="477"/>
      <c r="DA66" s="477"/>
      <c r="DB66" s="477"/>
      <c r="DC66" s="477"/>
      <c r="DD66" s="477"/>
      <c r="DE66" s="477"/>
      <c r="DF66" s="477"/>
      <c r="DG66" s="477"/>
      <c r="DH66" s="477"/>
      <c r="DI66" s="477"/>
      <c r="DJ66" s="477"/>
      <c r="DK66" s="477"/>
      <c r="DL66" s="477"/>
      <c r="DM66" s="477"/>
      <c r="DN66" s="477"/>
      <c r="DO66" s="477"/>
      <c r="DP66" s="477"/>
      <c r="DQ66" s="477"/>
      <c r="DR66" s="477"/>
      <c r="DS66" s="477"/>
      <c r="DT66" s="477"/>
      <c r="DU66" s="477"/>
      <c r="DV66" s="477"/>
      <c r="DW66" s="477"/>
      <c r="DX66" s="477"/>
      <c r="DY66" s="477"/>
      <c r="DZ66" s="477"/>
      <c r="EA66" s="477"/>
      <c r="EB66" s="477"/>
      <c r="EC66" s="477"/>
      <c r="ED66" s="477"/>
      <c r="EE66" s="477"/>
      <c r="EF66" s="477"/>
      <c r="EG66" s="477"/>
      <c r="EH66" s="477"/>
      <c r="EI66" s="477"/>
      <c r="EJ66" s="477"/>
      <c r="EK66" s="477"/>
      <c r="EL66" s="477"/>
      <c r="EM66" s="477"/>
      <c r="EN66" s="477"/>
      <c r="EO66" s="477"/>
      <c r="EP66" s="477"/>
      <c r="EQ66" s="477"/>
      <c r="ER66" s="477"/>
      <c r="ES66" s="477"/>
      <c r="ET66" s="477"/>
      <c r="EU66" s="477"/>
      <c r="EV66" s="477"/>
      <c r="EW66" s="477"/>
      <c r="EX66" s="477"/>
      <c r="EY66" s="477"/>
      <c r="EZ66" s="477"/>
      <c r="FA66" s="477"/>
      <c r="FB66" s="477"/>
      <c r="FC66" s="477"/>
      <c r="FD66" s="477"/>
      <c r="FE66" s="477"/>
      <c r="FF66" s="477"/>
      <c r="FG66" s="477"/>
      <c r="FH66" s="477"/>
      <c r="FI66" s="477"/>
      <c r="FJ66" s="477"/>
      <c r="FK66" s="477"/>
      <c r="FL66" s="477"/>
      <c r="FM66" s="477"/>
      <c r="FN66" s="477"/>
      <c r="FO66" s="477"/>
      <c r="FP66" s="477"/>
      <c r="FQ66" s="477"/>
      <c r="FR66" s="477"/>
      <c r="FS66" s="477"/>
      <c r="FT66" s="477"/>
      <c r="FU66" s="477"/>
      <c r="FV66" s="477"/>
      <c r="FW66" s="477"/>
      <c r="FX66" s="477"/>
      <c r="FY66" s="477"/>
      <c r="FZ66" s="477"/>
    </row>
    <row r="67" spans="1:182" ht="15.75" x14ac:dyDescent="0.25">
      <c r="A67" s="477"/>
      <c r="B67" s="477"/>
      <c r="C67" s="477"/>
      <c r="D67" s="477"/>
      <c r="E67" s="477"/>
      <c r="F67" s="477"/>
      <c r="G67" s="477"/>
      <c r="H67" s="477"/>
      <c r="I67" s="477"/>
      <c r="J67" s="477"/>
      <c r="K67" s="477"/>
      <c r="L67" s="477"/>
      <c r="M67" s="477"/>
      <c r="N67" s="477"/>
      <c r="O67" s="477"/>
      <c r="P67" s="477"/>
      <c r="Q67" s="477"/>
      <c r="R67" s="477"/>
      <c r="S67" s="477"/>
      <c r="T67" s="477"/>
      <c r="U67" s="477"/>
      <c r="V67" s="477"/>
      <c r="W67" s="477"/>
      <c r="X67" s="477"/>
      <c r="Y67" s="477"/>
      <c r="Z67" s="477"/>
      <c r="AA67" s="477"/>
      <c r="AB67" s="477"/>
      <c r="AC67" s="477"/>
      <c r="AD67" s="477"/>
      <c r="AE67" s="477"/>
      <c r="AF67" s="477"/>
      <c r="AG67" s="477"/>
      <c r="AH67" s="477"/>
      <c r="AI67" s="477"/>
      <c r="AJ67" s="477"/>
      <c r="AK67" s="477"/>
      <c r="AL67" s="477"/>
      <c r="AM67" s="477"/>
      <c r="AN67" s="477"/>
      <c r="AO67" s="477"/>
      <c r="AP67" s="477"/>
      <c r="AQ67" s="477"/>
      <c r="AR67" s="477"/>
      <c r="AS67" s="477"/>
      <c r="AT67" s="477"/>
      <c r="AU67" s="477"/>
      <c r="AV67" s="477"/>
      <c r="AW67" s="477"/>
      <c r="AX67" s="477"/>
      <c r="AY67" s="477"/>
      <c r="AZ67" s="477"/>
      <c r="BA67" s="477"/>
      <c r="BB67" s="477"/>
      <c r="BC67" s="477"/>
      <c r="BD67" s="477"/>
      <c r="BE67" s="477"/>
      <c r="BF67" s="477"/>
      <c r="BG67" s="477"/>
      <c r="BH67" s="477"/>
      <c r="BI67" s="477"/>
      <c r="BJ67" s="477"/>
      <c r="BK67" s="477"/>
      <c r="BL67" s="477"/>
      <c r="BM67" s="477"/>
      <c r="BN67" s="477"/>
      <c r="BO67" s="477"/>
      <c r="BP67" s="477"/>
      <c r="BQ67" s="477"/>
      <c r="BR67" s="477"/>
      <c r="BS67" s="477"/>
      <c r="BT67" s="477"/>
      <c r="BU67" s="477"/>
      <c r="BV67" s="477"/>
      <c r="BW67" s="477"/>
      <c r="BX67" s="477"/>
      <c r="BY67" s="477"/>
      <c r="BZ67" s="477"/>
      <c r="CA67" s="477"/>
      <c r="CB67" s="477"/>
      <c r="CC67" s="477"/>
      <c r="CD67" s="477"/>
      <c r="CE67" s="477"/>
      <c r="CF67" s="477"/>
      <c r="CG67" s="477"/>
      <c r="CH67" s="477"/>
      <c r="CI67" s="477"/>
      <c r="CJ67" s="477"/>
      <c r="CK67" s="477"/>
      <c r="CL67" s="477"/>
      <c r="CM67" s="477"/>
      <c r="CN67" s="477"/>
      <c r="CO67" s="477"/>
      <c r="CP67" s="477"/>
      <c r="CQ67" s="477"/>
      <c r="CR67" s="477"/>
      <c r="CS67" s="477"/>
      <c r="CT67" s="477"/>
      <c r="CU67" s="477"/>
      <c r="CV67" s="477"/>
      <c r="CW67" s="477"/>
      <c r="CX67" s="477"/>
      <c r="CY67" s="477"/>
      <c r="CZ67" s="477"/>
      <c r="DA67" s="477"/>
      <c r="DB67" s="477"/>
      <c r="DC67" s="477"/>
      <c r="DD67" s="477"/>
      <c r="DE67" s="477"/>
      <c r="DF67" s="477"/>
      <c r="DG67" s="477"/>
      <c r="DH67" s="477"/>
      <c r="DI67" s="477"/>
      <c r="DJ67" s="477"/>
      <c r="DK67" s="477"/>
      <c r="DL67" s="477"/>
      <c r="DM67" s="477"/>
      <c r="DN67" s="477"/>
      <c r="DO67" s="477"/>
      <c r="DP67" s="477"/>
      <c r="DQ67" s="477"/>
      <c r="DR67" s="477"/>
      <c r="DS67" s="477"/>
      <c r="DT67" s="477"/>
      <c r="DU67" s="477"/>
      <c r="DV67" s="477"/>
      <c r="DW67" s="477"/>
      <c r="DX67" s="477"/>
      <c r="DY67" s="477"/>
      <c r="DZ67" s="477"/>
      <c r="EA67" s="477"/>
      <c r="EB67" s="477"/>
      <c r="EC67" s="477"/>
      <c r="ED67" s="477"/>
      <c r="EE67" s="477"/>
      <c r="EF67" s="477"/>
      <c r="EG67" s="477"/>
      <c r="EH67" s="477"/>
      <c r="EI67" s="477"/>
      <c r="EJ67" s="477"/>
      <c r="EK67" s="477"/>
      <c r="EL67" s="477"/>
      <c r="EM67" s="477"/>
      <c r="EN67" s="477"/>
      <c r="EO67" s="477"/>
      <c r="EP67" s="477"/>
      <c r="EQ67" s="477"/>
      <c r="ER67" s="477"/>
      <c r="ES67" s="477"/>
      <c r="ET67" s="477"/>
      <c r="EU67" s="477"/>
      <c r="EV67" s="477"/>
      <c r="EW67" s="477"/>
      <c r="EX67" s="477"/>
      <c r="EY67" s="477"/>
      <c r="EZ67" s="477"/>
      <c r="FA67" s="477"/>
      <c r="FB67" s="477"/>
      <c r="FC67" s="477"/>
      <c r="FD67" s="477"/>
      <c r="FE67" s="477"/>
      <c r="FF67" s="477"/>
      <c r="FG67" s="477"/>
      <c r="FH67" s="477"/>
      <c r="FI67" s="477"/>
      <c r="FJ67" s="477"/>
      <c r="FK67" s="477"/>
      <c r="FL67" s="477"/>
      <c r="FM67" s="477"/>
      <c r="FN67" s="477"/>
      <c r="FO67" s="477"/>
      <c r="FP67" s="477"/>
      <c r="FQ67" s="477"/>
      <c r="FR67" s="477"/>
      <c r="FS67" s="477"/>
      <c r="FT67" s="477"/>
      <c r="FU67" s="477"/>
      <c r="FV67" s="477"/>
      <c r="FW67" s="477"/>
      <c r="FX67" s="477"/>
      <c r="FY67" s="477"/>
      <c r="FZ67" s="477"/>
    </row>
    <row r="68" spans="1:182" ht="15.75" x14ac:dyDescent="0.25">
      <c r="A68" s="477"/>
      <c r="B68" s="477"/>
      <c r="C68" s="477"/>
      <c r="D68" s="477"/>
      <c r="E68" s="477"/>
      <c r="F68" s="477"/>
      <c r="G68" s="477"/>
      <c r="H68" s="477"/>
      <c r="I68" s="477"/>
      <c r="J68" s="477"/>
      <c r="K68" s="477"/>
      <c r="L68" s="477"/>
      <c r="M68" s="477" t="s">
        <v>161</v>
      </c>
      <c r="N68" s="477"/>
      <c r="O68" s="477"/>
      <c r="P68" s="477"/>
      <c r="Q68" s="477"/>
      <c r="R68" s="477"/>
      <c r="S68" s="477" t="s">
        <v>161</v>
      </c>
      <c r="T68" s="477"/>
      <c r="U68" s="477"/>
      <c r="V68" s="477"/>
      <c r="W68" s="477" t="s">
        <v>161</v>
      </c>
      <c r="X68" s="477"/>
      <c r="Y68" s="477"/>
      <c r="Z68" s="477"/>
      <c r="AA68" s="477"/>
      <c r="AB68" s="477"/>
      <c r="AC68" s="477"/>
      <c r="AD68" s="477"/>
      <c r="AE68" s="477"/>
      <c r="AF68" s="477"/>
      <c r="AG68" s="477"/>
      <c r="AH68" s="477"/>
      <c r="AI68" s="477"/>
      <c r="AJ68" s="477"/>
      <c r="AK68" s="477"/>
      <c r="AL68" s="477"/>
      <c r="AM68" s="477"/>
      <c r="AN68" s="477"/>
      <c r="AO68" s="477"/>
      <c r="AP68" s="477"/>
      <c r="AQ68" s="477"/>
      <c r="AR68" s="477"/>
      <c r="AS68" s="477"/>
      <c r="AT68" s="477"/>
      <c r="AU68" s="477"/>
      <c r="AV68" s="477"/>
      <c r="AW68" s="477"/>
      <c r="AX68" s="477"/>
      <c r="AY68" s="477"/>
      <c r="AZ68" s="477"/>
      <c r="BA68" s="477"/>
      <c r="BB68" s="477"/>
      <c r="BC68" s="477"/>
      <c r="BD68" s="477"/>
      <c r="BE68" s="477"/>
      <c r="BF68" s="477"/>
      <c r="BG68" s="477"/>
      <c r="BH68" s="477"/>
      <c r="BI68" s="477"/>
      <c r="BJ68" s="477"/>
      <c r="BK68" s="477"/>
      <c r="BL68" s="477"/>
      <c r="BM68" s="477"/>
      <c r="BN68" s="477"/>
      <c r="BO68" s="477"/>
      <c r="BP68" s="477"/>
      <c r="BQ68" s="477"/>
      <c r="BR68" s="477"/>
      <c r="BS68" s="477"/>
      <c r="BT68" s="477"/>
      <c r="BU68" s="477"/>
      <c r="BV68" s="477"/>
      <c r="BW68" s="477"/>
      <c r="BX68" s="477"/>
      <c r="BY68" s="477"/>
      <c r="BZ68" s="477"/>
      <c r="CA68" s="477"/>
      <c r="CB68" s="477"/>
      <c r="CC68" s="477"/>
      <c r="CD68" s="477"/>
      <c r="CE68" s="477"/>
      <c r="CF68" s="477"/>
      <c r="CG68" s="477"/>
      <c r="CH68" s="477"/>
      <c r="CI68" s="477"/>
      <c r="CJ68" s="477"/>
      <c r="CK68" s="477"/>
      <c r="CL68" s="477"/>
      <c r="CM68" s="477"/>
      <c r="CN68" s="477"/>
      <c r="CO68" s="477"/>
      <c r="CP68" s="477"/>
      <c r="CQ68" s="477"/>
      <c r="CR68" s="477"/>
      <c r="CS68" s="477"/>
      <c r="CT68" s="477"/>
      <c r="CU68" s="477"/>
      <c r="CV68" s="477"/>
      <c r="CW68" s="477"/>
      <c r="CX68" s="477"/>
      <c r="CY68" s="477"/>
      <c r="CZ68" s="477"/>
      <c r="DA68" s="477"/>
      <c r="DB68" s="477"/>
      <c r="DC68" s="477"/>
      <c r="DD68" s="477"/>
      <c r="DE68" s="477"/>
      <c r="DF68" s="477"/>
      <c r="DG68" s="477"/>
      <c r="DH68" s="477"/>
      <c r="DI68" s="477"/>
      <c r="DJ68" s="477"/>
      <c r="DK68" s="477"/>
      <c r="DL68" s="477"/>
      <c r="DM68" s="477"/>
      <c r="DN68" s="477"/>
      <c r="DO68" s="477"/>
      <c r="DP68" s="477"/>
      <c r="DQ68" s="477"/>
      <c r="DR68" s="477"/>
      <c r="DS68" s="477"/>
      <c r="DT68" s="477"/>
      <c r="DU68" s="477"/>
      <c r="DV68" s="477"/>
      <c r="DW68" s="477"/>
      <c r="DX68" s="477"/>
      <c r="DY68" s="477"/>
      <c r="DZ68" s="477"/>
      <c r="EA68" s="477"/>
      <c r="EB68" s="477"/>
      <c r="EC68" s="477"/>
      <c r="ED68" s="477"/>
      <c r="EE68" s="477"/>
      <c r="EF68" s="477"/>
      <c r="EG68" s="477"/>
      <c r="EH68" s="477"/>
      <c r="EI68" s="477"/>
      <c r="EJ68" s="477"/>
      <c r="EK68" s="477"/>
      <c r="EL68" s="477"/>
      <c r="EM68" s="477"/>
      <c r="EN68" s="477"/>
      <c r="EO68" s="477"/>
      <c r="EP68" s="477"/>
      <c r="EQ68" s="477"/>
      <c r="ER68" s="477"/>
      <c r="ES68" s="477"/>
      <c r="ET68" s="477"/>
      <c r="EU68" s="477"/>
      <c r="EV68" s="477"/>
      <c r="EW68" s="477"/>
      <c r="EX68" s="477"/>
      <c r="EY68" s="477"/>
      <c r="EZ68" s="477"/>
      <c r="FA68" s="477"/>
      <c r="FB68" s="477"/>
      <c r="FC68" s="477"/>
      <c r="FD68" s="477"/>
      <c r="FE68" s="477"/>
      <c r="FF68" s="477"/>
      <c r="FG68" s="477"/>
      <c r="FH68" s="477"/>
      <c r="FI68" s="477"/>
      <c r="FJ68" s="477"/>
      <c r="FK68" s="477"/>
      <c r="FL68" s="477"/>
      <c r="FM68" s="477"/>
      <c r="FN68" s="477"/>
      <c r="FO68" s="477"/>
      <c r="FP68" s="477"/>
      <c r="FQ68" s="477"/>
      <c r="FR68" s="477"/>
      <c r="FS68" s="477"/>
      <c r="FT68" s="477"/>
      <c r="FU68" s="477"/>
      <c r="FV68" s="477"/>
      <c r="FW68" s="477"/>
      <c r="FX68" s="477"/>
      <c r="FY68" s="477"/>
      <c r="FZ68" s="477"/>
    </row>
    <row r="69" spans="1:182" ht="15.75" x14ac:dyDescent="0.25">
      <c r="A69" s="477"/>
      <c r="B69" s="477"/>
      <c r="C69" s="477"/>
      <c r="D69" s="477"/>
      <c r="E69" s="477"/>
      <c r="F69" s="477"/>
      <c r="G69" s="477"/>
      <c r="H69" s="477"/>
      <c r="I69" s="477"/>
      <c r="J69" s="477"/>
      <c r="K69" s="477"/>
      <c r="L69" s="477"/>
      <c r="M69" s="477"/>
      <c r="N69" s="477"/>
      <c r="O69" s="477"/>
      <c r="P69" s="477"/>
      <c r="Q69" s="477"/>
      <c r="R69" s="477"/>
      <c r="S69" s="477"/>
      <c r="T69" s="477"/>
      <c r="U69" s="477"/>
      <c r="V69" s="477"/>
      <c r="W69" s="477"/>
      <c r="X69" s="477"/>
      <c r="Y69" s="477"/>
      <c r="Z69" s="477"/>
      <c r="AA69" s="477"/>
      <c r="AB69" s="477"/>
      <c r="AC69" s="477"/>
      <c r="AD69" s="477"/>
      <c r="AE69" s="477"/>
      <c r="AF69" s="477"/>
      <c r="AG69" s="477"/>
      <c r="AH69" s="477"/>
      <c r="AI69" s="477"/>
      <c r="AJ69" s="477"/>
      <c r="AK69" s="477"/>
      <c r="AL69" s="477"/>
      <c r="AM69" s="477"/>
      <c r="AN69" s="477"/>
      <c r="AO69" s="477"/>
      <c r="AP69" s="477"/>
      <c r="AQ69" s="477"/>
      <c r="AR69" s="477"/>
      <c r="AS69" s="477"/>
      <c r="AT69" s="477"/>
      <c r="AU69" s="477"/>
      <c r="AV69" s="477"/>
      <c r="AW69" s="477"/>
      <c r="AX69" s="477"/>
      <c r="AY69" s="477"/>
      <c r="AZ69" s="477"/>
      <c r="BA69" s="477"/>
      <c r="BB69" s="477"/>
      <c r="BC69" s="477"/>
      <c r="BD69" s="477"/>
      <c r="BE69" s="477"/>
      <c r="BF69" s="477"/>
      <c r="BG69" s="477"/>
      <c r="BH69" s="477"/>
      <c r="BI69" s="477"/>
      <c r="BJ69" s="477"/>
      <c r="BK69" s="477"/>
      <c r="BL69" s="477"/>
      <c r="BM69" s="477"/>
      <c r="BN69" s="477"/>
      <c r="BO69" s="477"/>
      <c r="BP69" s="477"/>
      <c r="BQ69" s="477"/>
      <c r="BR69" s="477"/>
      <c r="BS69" s="477"/>
      <c r="BT69" s="477"/>
      <c r="BU69" s="477"/>
      <c r="BV69" s="477"/>
      <c r="BW69" s="477"/>
      <c r="BX69" s="477"/>
      <c r="BY69" s="477"/>
      <c r="BZ69" s="477"/>
      <c r="CA69" s="477"/>
      <c r="CB69" s="477"/>
      <c r="CC69" s="477"/>
      <c r="CD69" s="477"/>
      <c r="CE69" s="477"/>
      <c r="CF69" s="477"/>
      <c r="CG69" s="477"/>
      <c r="CH69" s="477"/>
      <c r="CI69" s="477"/>
      <c r="CJ69" s="477"/>
      <c r="CK69" s="477"/>
      <c r="CL69" s="477"/>
      <c r="CM69" s="477"/>
      <c r="CN69" s="477"/>
      <c r="CO69" s="477"/>
      <c r="CP69" s="477"/>
      <c r="CQ69" s="477"/>
      <c r="CR69" s="477"/>
      <c r="CS69" s="477"/>
      <c r="CT69" s="477"/>
      <c r="CU69" s="477"/>
      <c r="CV69" s="477"/>
      <c r="CW69" s="477"/>
      <c r="CX69" s="477"/>
      <c r="CY69" s="477"/>
      <c r="CZ69" s="477"/>
      <c r="DA69" s="477"/>
      <c r="DB69" s="477"/>
      <c r="DC69" s="477"/>
      <c r="DD69" s="477"/>
      <c r="DE69" s="477"/>
      <c r="DF69" s="477"/>
      <c r="DG69" s="477"/>
      <c r="DH69" s="477"/>
      <c r="DI69" s="477"/>
      <c r="DJ69" s="477"/>
      <c r="DK69" s="477"/>
      <c r="DL69" s="477"/>
      <c r="DM69" s="477"/>
      <c r="DN69" s="477"/>
      <c r="DO69" s="477"/>
      <c r="DP69" s="477"/>
      <c r="DQ69" s="477"/>
      <c r="DR69" s="477"/>
      <c r="DS69" s="477"/>
      <c r="DT69" s="477"/>
      <c r="DU69" s="477"/>
      <c r="DV69" s="477"/>
      <c r="DW69" s="477"/>
      <c r="DX69" s="477"/>
      <c r="DY69" s="477"/>
      <c r="DZ69" s="477"/>
      <c r="EA69" s="477"/>
      <c r="EB69" s="477"/>
      <c r="EC69" s="477"/>
      <c r="ED69" s="477"/>
      <c r="EE69" s="477"/>
      <c r="EF69" s="477"/>
      <c r="EG69" s="477"/>
      <c r="EH69" s="477"/>
      <c r="EI69" s="477"/>
      <c r="EJ69" s="477"/>
      <c r="EK69" s="477"/>
      <c r="EL69" s="477"/>
      <c r="EM69" s="477"/>
      <c r="EN69" s="477"/>
      <c r="EO69" s="477"/>
      <c r="EP69" s="477"/>
      <c r="EQ69" s="477"/>
      <c r="ER69" s="477"/>
      <c r="ES69" s="477"/>
      <c r="ET69" s="477"/>
      <c r="EU69" s="477"/>
      <c r="EV69" s="477"/>
      <c r="EW69" s="477"/>
      <c r="EX69" s="477"/>
      <c r="EY69" s="477"/>
      <c r="EZ69" s="477"/>
      <c r="FA69" s="477"/>
      <c r="FB69" s="477"/>
      <c r="FC69" s="477"/>
      <c r="FD69" s="477"/>
      <c r="FE69" s="477"/>
      <c r="FF69" s="477"/>
      <c r="FG69" s="477"/>
      <c r="FH69" s="477"/>
      <c r="FI69" s="477"/>
      <c r="FJ69" s="477"/>
      <c r="FK69" s="477"/>
      <c r="FL69" s="477"/>
      <c r="FM69" s="477"/>
      <c r="FN69" s="477"/>
      <c r="FO69" s="477"/>
      <c r="FP69" s="477"/>
      <c r="FQ69" s="477"/>
      <c r="FR69" s="477"/>
      <c r="FS69" s="477"/>
      <c r="FT69" s="477"/>
      <c r="FU69" s="477"/>
      <c r="FV69" s="477"/>
      <c r="FW69" s="477"/>
      <c r="FX69" s="477"/>
      <c r="FY69" s="477"/>
      <c r="FZ69" s="477"/>
    </row>
    <row r="70" spans="1:182" ht="15.75" x14ac:dyDescent="0.25">
      <c r="A70" s="477"/>
      <c r="B70" s="477"/>
      <c r="C70" s="477"/>
      <c r="D70" s="477"/>
      <c r="E70" s="477"/>
      <c r="F70" s="477"/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77"/>
      <c r="R70" s="477"/>
      <c r="S70" s="477"/>
      <c r="T70" s="477"/>
      <c r="U70" s="477"/>
      <c r="V70" s="477"/>
      <c r="W70" s="477"/>
      <c r="X70" s="477"/>
      <c r="Y70" s="477"/>
      <c r="Z70" s="477"/>
      <c r="AA70" s="477"/>
      <c r="AB70" s="477"/>
      <c r="AC70" s="477"/>
      <c r="AD70" s="477"/>
      <c r="AE70" s="477"/>
      <c r="AF70" s="477"/>
      <c r="AG70" s="477"/>
      <c r="AH70" s="477"/>
      <c r="AI70" s="477"/>
      <c r="AJ70" s="477"/>
      <c r="AK70" s="477"/>
      <c r="AL70" s="477"/>
      <c r="AM70" s="477"/>
      <c r="AN70" s="477"/>
      <c r="AO70" s="477"/>
      <c r="AP70" s="477"/>
      <c r="AQ70" s="477"/>
      <c r="AR70" s="477"/>
      <c r="AS70" s="477"/>
      <c r="AT70" s="477"/>
      <c r="AU70" s="477"/>
      <c r="AV70" s="477"/>
      <c r="AW70" s="477"/>
      <c r="AX70" s="477"/>
      <c r="AY70" s="477"/>
      <c r="AZ70" s="477"/>
      <c r="BA70" s="477"/>
      <c r="BB70" s="477"/>
      <c r="BC70" s="477"/>
      <c r="BD70" s="477"/>
      <c r="BE70" s="477"/>
      <c r="BF70" s="477"/>
      <c r="BG70" s="477"/>
      <c r="BH70" s="477"/>
      <c r="BI70" s="477"/>
      <c r="BJ70" s="477"/>
      <c r="BK70" s="477"/>
      <c r="BL70" s="477"/>
      <c r="BM70" s="477"/>
      <c r="BN70" s="477"/>
      <c r="BO70" s="477"/>
      <c r="BP70" s="477"/>
      <c r="BQ70" s="477"/>
      <c r="BR70" s="477"/>
      <c r="BS70" s="477"/>
      <c r="BT70" s="477"/>
      <c r="BU70" s="477"/>
      <c r="BV70" s="477"/>
      <c r="BW70" s="477"/>
      <c r="BX70" s="477"/>
      <c r="BY70" s="477"/>
      <c r="BZ70" s="477"/>
      <c r="CA70" s="477"/>
      <c r="CB70" s="477"/>
      <c r="CC70" s="477"/>
      <c r="CD70" s="477"/>
      <c r="CE70" s="477"/>
      <c r="CF70" s="477"/>
      <c r="CG70" s="477"/>
      <c r="CH70" s="477"/>
      <c r="CI70" s="477"/>
      <c r="CJ70" s="477"/>
      <c r="CK70" s="477"/>
      <c r="CL70" s="477"/>
      <c r="CM70" s="477"/>
      <c r="CN70" s="477"/>
      <c r="CO70" s="477"/>
      <c r="CP70" s="477"/>
      <c r="CQ70" s="477"/>
      <c r="CR70" s="477"/>
      <c r="CS70" s="477"/>
      <c r="CT70" s="477"/>
      <c r="CU70" s="477"/>
      <c r="CV70" s="477"/>
      <c r="CW70" s="477"/>
      <c r="CX70" s="477"/>
      <c r="CY70" s="477"/>
      <c r="CZ70" s="477"/>
      <c r="DA70" s="477"/>
      <c r="DB70" s="477"/>
      <c r="DC70" s="477"/>
      <c r="DD70" s="477"/>
      <c r="DE70" s="477"/>
      <c r="DF70" s="477"/>
      <c r="DG70" s="477"/>
      <c r="DH70" s="477"/>
      <c r="DI70" s="477"/>
      <c r="DJ70" s="477"/>
      <c r="DK70" s="477"/>
      <c r="DL70" s="477"/>
      <c r="DM70" s="477"/>
      <c r="DN70" s="477"/>
      <c r="DO70" s="477"/>
      <c r="DP70" s="477"/>
      <c r="DQ70" s="477"/>
      <c r="DR70" s="477"/>
      <c r="DS70" s="477"/>
      <c r="DT70" s="477"/>
      <c r="DU70" s="477"/>
      <c r="DV70" s="477"/>
      <c r="DW70" s="477"/>
      <c r="DX70" s="477"/>
      <c r="DY70" s="477"/>
      <c r="DZ70" s="477"/>
      <c r="EA70" s="477"/>
      <c r="EB70" s="477"/>
      <c r="EC70" s="477"/>
      <c r="ED70" s="477"/>
      <c r="EE70" s="477"/>
      <c r="EF70" s="477"/>
      <c r="EG70" s="477"/>
      <c r="EH70" s="477"/>
      <c r="EI70" s="477"/>
      <c r="EJ70" s="477"/>
      <c r="EK70" s="477"/>
      <c r="EL70" s="477"/>
      <c r="EM70" s="477"/>
      <c r="EN70" s="477"/>
      <c r="EO70" s="477"/>
      <c r="EP70" s="477"/>
      <c r="EQ70" s="477"/>
      <c r="ER70" s="477"/>
      <c r="ES70" s="477"/>
      <c r="ET70" s="477"/>
      <c r="EU70" s="477"/>
      <c r="EV70" s="477"/>
      <c r="EW70" s="477"/>
      <c r="EX70" s="477"/>
      <c r="EY70" s="477"/>
      <c r="EZ70" s="477"/>
      <c r="FA70" s="477"/>
      <c r="FB70" s="477"/>
      <c r="FC70" s="477"/>
      <c r="FD70" s="477"/>
      <c r="FE70" s="477"/>
      <c r="FF70" s="477"/>
      <c r="FG70" s="477"/>
      <c r="FH70" s="477"/>
      <c r="FI70" s="477"/>
      <c r="FJ70" s="477"/>
      <c r="FK70" s="477"/>
      <c r="FL70" s="477"/>
      <c r="FM70" s="477"/>
      <c r="FN70" s="477"/>
      <c r="FO70" s="477"/>
      <c r="FP70" s="477"/>
      <c r="FQ70" s="477"/>
      <c r="FR70" s="477"/>
      <c r="FS70" s="477"/>
      <c r="FT70" s="477"/>
      <c r="FU70" s="477"/>
      <c r="FV70" s="477"/>
      <c r="FW70" s="477"/>
      <c r="FX70" s="477"/>
      <c r="FY70" s="477"/>
      <c r="FZ70" s="477"/>
    </row>
    <row r="71" spans="1:182" ht="19.350000000000001" customHeight="1" x14ac:dyDescent="0.25">
      <c r="A71" s="478" t="s">
        <v>374</v>
      </c>
      <c r="B71" s="479" t="s">
        <v>456</v>
      </c>
      <c r="C71" s="480"/>
      <c r="D71" s="480"/>
      <c r="E71" s="480"/>
      <c r="F71" s="480"/>
      <c r="G71" s="481" t="s">
        <v>375</v>
      </c>
      <c r="H71" s="477"/>
      <c r="I71" s="477"/>
      <c r="J71" s="482"/>
      <c r="K71" s="482"/>
      <c r="L71" s="482"/>
      <c r="M71" s="482"/>
      <c r="N71" s="482"/>
      <c r="O71" s="478" t="s">
        <v>374</v>
      </c>
      <c r="P71" s="479" t="s">
        <v>456</v>
      </c>
      <c r="Q71" s="480"/>
      <c r="R71" s="480"/>
      <c r="S71" s="480"/>
      <c r="T71" s="480"/>
      <c r="U71" s="481" t="s">
        <v>375</v>
      </c>
      <c r="V71" s="477"/>
      <c r="W71" s="477"/>
      <c r="X71" s="482"/>
      <c r="Y71" s="482"/>
      <c r="Z71" s="482"/>
      <c r="AA71" s="482"/>
      <c r="AB71" s="482"/>
      <c r="AC71" s="478" t="s">
        <v>374</v>
      </c>
      <c r="AD71" s="479" t="s">
        <v>456</v>
      </c>
      <c r="AE71" s="480"/>
      <c r="AF71" s="480"/>
      <c r="AG71" s="480"/>
      <c r="AH71" s="480"/>
      <c r="AI71" s="481" t="s">
        <v>375</v>
      </c>
      <c r="AJ71" s="477"/>
      <c r="AK71" s="477"/>
      <c r="AL71" s="482"/>
      <c r="AM71" s="482"/>
      <c r="AN71" s="482"/>
      <c r="AO71" s="482"/>
      <c r="AP71" s="482"/>
      <c r="AQ71" s="478" t="s">
        <v>374</v>
      </c>
      <c r="AR71" s="479" t="s">
        <v>456</v>
      </c>
      <c r="AS71" s="480"/>
      <c r="AT71" s="480"/>
      <c r="AU71" s="480"/>
      <c r="AV71" s="480"/>
      <c r="AW71" s="481" t="s">
        <v>375</v>
      </c>
      <c r="AX71" s="477"/>
      <c r="AY71" s="477"/>
      <c r="AZ71" s="482"/>
      <c r="BA71" s="482"/>
      <c r="BB71" s="482"/>
      <c r="BC71" s="482"/>
      <c r="BD71" s="482"/>
      <c r="BE71" s="478" t="s">
        <v>374</v>
      </c>
      <c r="BF71" s="479" t="s">
        <v>456</v>
      </c>
      <c r="BG71" s="480"/>
      <c r="BH71" s="480"/>
      <c r="BI71" s="480"/>
      <c r="BJ71" s="480"/>
      <c r="BK71" s="481" t="s">
        <v>375</v>
      </c>
      <c r="BL71" s="477"/>
      <c r="BM71" s="477"/>
      <c r="BN71" s="482"/>
      <c r="BO71" s="482"/>
      <c r="BP71" s="482"/>
      <c r="BQ71" s="482"/>
      <c r="BR71" s="482"/>
      <c r="BS71" s="478" t="s">
        <v>374</v>
      </c>
      <c r="BT71" s="479" t="s">
        <v>456</v>
      </c>
      <c r="BU71" s="480"/>
      <c r="BV71" s="480"/>
      <c r="BW71" s="480"/>
      <c r="BX71" s="480"/>
      <c r="BY71" s="481" t="s">
        <v>375</v>
      </c>
      <c r="BZ71" s="477"/>
      <c r="CA71" s="477"/>
      <c r="CB71" s="482"/>
      <c r="CC71" s="482"/>
      <c r="CD71" s="482"/>
      <c r="CE71" s="482"/>
      <c r="CF71" s="482"/>
      <c r="CG71" s="478" t="s">
        <v>374</v>
      </c>
      <c r="CH71" s="479" t="s">
        <v>456</v>
      </c>
      <c r="CI71" s="480"/>
      <c r="CJ71" s="480"/>
      <c r="CK71" s="480"/>
      <c r="CL71" s="480"/>
      <c r="CM71" s="481" t="s">
        <v>375</v>
      </c>
      <c r="CN71" s="477"/>
      <c r="CO71" s="477"/>
      <c r="CP71" s="482"/>
      <c r="CQ71" s="482"/>
      <c r="CR71" s="482"/>
      <c r="CS71" s="482"/>
      <c r="CT71" s="482"/>
      <c r="CU71" s="478" t="s">
        <v>374</v>
      </c>
      <c r="CV71" s="479" t="s">
        <v>456</v>
      </c>
      <c r="CW71" s="480"/>
      <c r="CX71" s="480"/>
      <c r="CY71" s="480"/>
      <c r="CZ71" s="480"/>
      <c r="DA71" s="481" t="s">
        <v>375</v>
      </c>
      <c r="DB71" s="477"/>
      <c r="DC71" s="477"/>
      <c r="DD71" s="482"/>
      <c r="DE71" s="482"/>
      <c r="DF71" s="482"/>
      <c r="DG71" s="482"/>
      <c r="DH71" s="482"/>
      <c r="DI71" s="478" t="s">
        <v>374</v>
      </c>
      <c r="DJ71" s="479" t="s">
        <v>456</v>
      </c>
      <c r="DK71" s="480"/>
      <c r="DL71" s="480"/>
      <c r="DM71" s="480"/>
      <c r="DN71" s="480"/>
      <c r="DO71" s="481" t="s">
        <v>375</v>
      </c>
      <c r="DP71" s="477"/>
      <c r="DQ71" s="477"/>
      <c r="DR71" s="482"/>
      <c r="DS71" s="482"/>
      <c r="DT71" s="482"/>
      <c r="DU71" s="482"/>
      <c r="DV71" s="482"/>
      <c r="DW71" s="478" t="s">
        <v>374</v>
      </c>
      <c r="DX71" s="479" t="s">
        <v>456</v>
      </c>
      <c r="DY71" s="480"/>
      <c r="DZ71" s="480"/>
      <c r="EA71" s="480"/>
      <c r="EB71" s="480"/>
      <c r="EC71" s="481" t="s">
        <v>375</v>
      </c>
      <c r="ED71" s="477"/>
      <c r="EE71" s="477"/>
      <c r="EF71" s="482"/>
      <c r="EG71" s="482"/>
      <c r="EH71" s="482"/>
      <c r="EI71" s="482"/>
      <c r="EJ71" s="482"/>
      <c r="EK71" s="478" t="s">
        <v>374</v>
      </c>
      <c r="EL71" s="479" t="s">
        <v>456</v>
      </c>
      <c r="EM71" s="480"/>
      <c r="EN71" s="480"/>
      <c r="EO71" s="480"/>
      <c r="EP71" s="480"/>
      <c r="EQ71" s="481" t="s">
        <v>375</v>
      </c>
      <c r="ER71" s="477"/>
      <c r="ES71" s="477"/>
      <c r="ET71" s="482"/>
      <c r="EU71" s="482"/>
      <c r="EV71" s="482"/>
      <c r="EW71" s="482"/>
      <c r="EX71" s="482"/>
      <c r="EY71" s="478" t="s">
        <v>374</v>
      </c>
      <c r="EZ71" s="479" t="s">
        <v>456</v>
      </c>
      <c r="FA71" s="480"/>
      <c r="FB71" s="480"/>
      <c r="FC71" s="480"/>
      <c r="FD71" s="480"/>
      <c r="FE71" s="481" t="s">
        <v>375</v>
      </c>
      <c r="FF71" s="477"/>
      <c r="FG71" s="477"/>
      <c r="FH71" s="482"/>
      <c r="FI71" s="482"/>
      <c r="FJ71" s="482"/>
      <c r="FK71" s="482"/>
      <c r="FL71" s="482"/>
      <c r="FM71" s="478" t="s">
        <v>374</v>
      </c>
      <c r="FN71" s="479" t="s">
        <v>456</v>
      </c>
      <c r="FO71" s="480"/>
      <c r="FP71" s="480"/>
      <c r="FQ71" s="480"/>
      <c r="FR71" s="480"/>
      <c r="FS71" s="481" t="s">
        <v>375</v>
      </c>
      <c r="FT71" s="477"/>
      <c r="FU71" s="477"/>
      <c r="FV71" s="482"/>
      <c r="FW71" s="482"/>
      <c r="FX71" s="482"/>
      <c r="FY71" s="482"/>
      <c r="FZ71" s="482"/>
    </row>
    <row r="72" spans="1:182" ht="19.350000000000001" customHeight="1" x14ac:dyDescent="0.25">
      <c r="A72" s="481" t="s">
        <v>376</v>
      </c>
      <c r="B72" s="483" t="s">
        <v>457</v>
      </c>
      <c r="C72" s="480"/>
      <c r="D72" s="480"/>
      <c r="E72" s="480"/>
      <c r="F72" s="480"/>
      <c r="G72" s="480"/>
      <c r="H72" s="480"/>
      <c r="I72" s="480"/>
      <c r="J72" s="480"/>
      <c r="K72" s="484"/>
      <c r="L72" s="480"/>
      <c r="M72" s="480"/>
      <c r="N72" s="480"/>
      <c r="O72" s="481" t="s">
        <v>376</v>
      </c>
      <c r="P72" s="483" t="s">
        <v>457</v>
      </c>
      <c r="Q72" s="480"/>
      <c r="R72" s="480"/>
      <c r="S72" s="480"/>
      <c r="T72" s="480"/>
      <c r="U72" s="480"/>
      <c r="V72" s="480"/>
      <c r="W72" s="480"/>
      <c r="X72" s="480"/>
      <c r="Y72" s="484"/>
      <c r="Z72" s="480"/>
      <c r="AA72" s="480"/>
      <c r="AB72" s="480"/>
      <c r="AC72" s="481" t="s">
        <v>376</v>
      </c>
      <c r="AD72" s="483" t="s">
        <v>457</v>
      </c>
      <c r="AE72" s="480"/>
      <c r="AF72" s="480"/>
      <c r="AG72" s="480"/>
      <c r="AH72" s="480"/>
      <c r="AI72" s="480"/>
      <c r="AJ72" s="480"/>
      <c r="AK72" s="480"/>
      <c r="AL72" s="480"/>
      <c r="AM72" s="484"/>
      <c r="AN72" s="480"/>
      <c r="AO72" s="480"/>
      <c r="AP72" s="480"/>
      <c r="AQ72" s="481" t="s">
        <v>376</v>
      </c>
      <c r="AR72" s="483" t="s">
        <v>457</v>
      </c>
      <c r="AS72" s="480"/>
      <c r="AT72" s="480"/>
      <c r="AU72" s="480"/>
      <c r="AV72" s="480"/>
      <c r="AW72" s="480"/>
      <c r="AX72" s="480"/>
      <c r="AY72" s="480"/>
      <c r="AZ72" s="480"/>
      <c r="BA72" s="484"/>
      <c r="BB72" s="480"/>
      <c r="BC72" s="480"/>
      <c r="BD72" s="480"/>
      <c r="BE72" s="481" t="s">
        <v>376</v>
      </c>
      <c r="BF72" s="483" t="s">
        <v>457</v>
      </c>
      <c r="BG72" s="480"/>
      <c r="BH72" s="480"/>
      <c r="BI72" s="480"/>
      <c r="BJ72" s="480"/>
      <c r="BK72" s="480"/>
      <c r="BL72" s="480"/>
      <c r="BM72" s="480"/>
      <c r="BN72" s="480"/>
      <c r="BO72" s="484"/>
      <c r="BP72" s="480"/>
      <c r="BQ72" s="480"/>
      <c r="BR72" s="480"/>
      <c r="BS72" s="481" t="s">
        <v>376</v>
      </c>
      <c r="BT72" s="483" t="s">
        <v>457</v>
      </c>
      <c r="BU72" s="480"/>
      <c r="BV72" s="480"/>
      <c r="BW72" s="480"/>
      <c r="BX72" s="480"/>
      <c r="BY72" s="480"/>
      <c r="BZ72" s="480"/>
      <c r="CA72" s="480"/>
      <c r="CB72" s="480"/>
      <c r="CC72" s="484"/>
      <c r="CD72" s="480"/>
      <c r="CE72" s="480"/>
      <c r="CF72" s="480"/>
      <c r="CG72" s="481" t="s">
        <v>376</v>
      </c>
      <c r="CH72" s="483" t="s">
        <v>457</v>
      </c>
      <c r="CI72" s="480"/>
      <c r="CJ72" s="480"/>
      <c r="CK72" s="480"/>
      <c r="CL72" s="480"/>
      <c r="CM72" s="480"/>
      <c r="CN72" s="480"/>
      <c r="CO72" s="480"/>
      <c r="CP72" s="480"/>
      <c r="CQ72" s="484"/>
      <c r="CR72" s="480"/>
      <c r="CS72" s="480"/>
      <c r="CT72" s="480"/>
      <c r="CU72" s="481" t="s">
        <v>376</v>
      </c>
      <c r="CV72" s="483" t="s">
        <v>457</v>
      </c>
      <c r="CW72" s="480"/>
      <c r="CX72" s="480"/>
      <c r="CY72" s="480"/>
      <c r="CZ72" s="480"/>
      <c r="DA72" s="480"/>
      <c r="DB72" s="480"/>
      <c r="DC72" s="480"/>
      <c r="DD72" s="480"/>
      <c r="DE72" s="484"/>
      <c r="DF72" s="480"/>
      <c r="DG72" s="480"/>
      <c r="DH72" s="480"/>
      <c r="DI72" s="481" t="s">
        <v>376</v>
      </c>
      <c r="DJ72" s="483" t="s">
        <v>457</v>
      </c>
      <c r="DK72" s="480"/>
      <c r="DL72" s="480"/>
      <c r="DM72" s="480"/>
      <c r="DN72" s="480"/>
      <c r="DO72" s="480"/>
      <c r="DP72" s="480"/>
      <c r="DQ72" s="480"/>
      <c r="DR72" s="480"/>
      <c r="DS72" s="484"/>
      <c r="DT72" s="480"/>
      <c r="DU72" s="480"/>
      <c r="DV72" s="480"/>
      <c r="DW72" s="481" t="s">
        <v>376</v>
      </c>
      <c r="DX72" s="483" t="s">
        <v>457</v>
      </c>
      <c r="DY72" s="480"/>
      <c r="DZ72" s="480"/>
      <c r="EA72" s="480"/>
      <c r="EB72" s="480"/>
      <c r="EC72" s="480"/>
      <c r="ED72" s="480"/>
      <c r="EE72" s="480"/>
      <c r="EF72" s="480"/>
      <c r="EG72" s="484"/>
      <c r="EH72" s="480"/>
      <c r="EI72" s="480"/>
      <c r="EJ72" s="480"/>
      <c r="EK72" s="481" t="s">
        <v>376</v>
      </c>
      <c r="EL72" s="483" t="s">
        <v>457</v>
      </c>
      <c r="EM72" s="480"/>
      <c r="EN72" s="480"/>
      <c r="EO72" s="480"/>
      <c r="EP72" s="480"/>
      <c r="EQ72" s="480"/>
      <c r="ER72" s="480"/>
      <c r="ES72" s="480"/>
      <c r="ET72" s="480"/>
      <c r="EU72" s="484"/>
      <c r="EV72" s="480"/>
      <c r="EW72" s="480"/>
      <c r="EX72" s="480"/>
      <c r="EY72" s="481" t="s">
        <v>376</v>
      </c>
      <c r="EZ72" s="483" t="s">
        <v>457</v>
      </c>
      <c r="FA72" s="480"/>
      <c r="FB72" s="480"/>
      <c r="FC72" s="480"/>
      <c r="FD72" s="480"/>
      <c r="FE72" s="480"/>
      <c r="FF72" s="480"/>
      <c r="FG72" s="480"/>
      <c r="FH72" s="480"/>
      <c r="FI72" s="484"/>
      <c r="FJ72" s="480"/>
      <c r="FK72" s="480"/>
      <c r="FL72" s="480"/>
      <c r="FM72" s="481" t="s">
        <v>376</v>
      </c>
      <c r="FN72" s="483" t="s">
        <v>457</v>
      </c>
      <c r="FO72" s="480"/>
      <c r="FP72" s="480"/>
      <c r="FQ72" s="480"/>
      <c r="FR72" s="480"/>
      <c r="FS72" s="480"/>
      <c r="FT72" s="480"/>
      <c r="FU72" s="480"/>
      <c r="FV72" s="480"/>
      <c r="FW72" s="484"/>
      <c r="FX72" s="480"/>
      <c r="FY72" s="480"/>
      <c r="FZ72" s="480"/>
    </row>
    <row r="73" spans="1:182" s="297" customFormat="1" ht="19.350000000000001" customHeight="1" x14ac:dyDescent="0.2">
      <c r="A73" s="485" t="s">
        <v>377</v>
      </c>
      <c r="B73" s="481" t="s">
        <v>378</v>
      </c>
      <c r="C73" s="481"/>
      <c r="D73" s="481"/>
      <c r="E73" s="481"/>
      <c r="F73" s="481"/>
      <c r="G73" s="481"/>
      <c r="H73" s="481"/>
      <c r="I73" s="481"/>
      <c r="J73" s="481"/>
      <c r="K73" s="486"/>
      <c r="L73" s="487" t="s">
        <v>548</v>
      </c>
      <c r="M73" s="481"/>
      <c r="N73" s="481"/>
      <c r="O73" s="485" t="s">
        <v>377</v>
      </c>
      <c r="P73" s="481" t="s">
        <v>378</v>
      </c>
      <c r="Q73" s="481"/>
      <c r="R73" s="481"/>
      <c r="S73" s="481"/>
      <c r="T73" s="481"/>
      <c r="U73" s="481"/>
      <c r="V73" s="481"/>
      <c r="W73" s="481"/>
      <c r="X73" s="481"/>
      <c r="Y73" s="486"/>
      <c r="Z73" s="487" t="s">
        <v>549</v>
      </c>
      <c r="AA73" s="481"/>
      <c r="AB73" s="481"/>
      <c r="AC73" s="485" t="s">
        <v>377</v>
      </c>
      <c r="AD73" s="481" t="s">
        <v>378</v>
      </c>
      <c r="AE73" s="481"/>
      <c r="AF73" s="481"/>
      <c r="AG73" s="481"/>
      <c r="AH73" s="481"/>
      <c r="AI73" s="481"/>
      <c r="AJ73" s="481"/>
      <c r="AK73" s="481"/>
      <c r="AL73" s="481"/>
      <c r="AM73" s="486"/>
      <c r="AN73" s="487" t="s">
        <v>550</v>
      </c>
      <c r="AO73" s="481"/>
      <c r="AP73" s="481"/>
      <c r="AQ73" s="485" t="s">
        <v>377</v>
      </c>
      <c r="AR73" s="481" t="s">
        <v>378</v>
      </c>
      <c r="AS73" s="481"/>
      <c r="AT73" s="481"/>
      <c r="AU73" s="481"/>
      <c r="AV73" s="481"/>
      <c r="AW73" s="481"/>
      <c r="AX73" s="481"/>
      <c r="AY73" s="481"/>
      <c r="AZ73" s="481"/>
      <c r="BA73" s="486"/>
      <c r="BB73" s="487" t="s">
        <v>551</v>
      </c>
      <c r="BC73" s="481"/>
      <c r="BD73" s="481"/>
      <c r="BE73" s="485" t="s">
        <v>377</v>
      </c>
      <c r="BF73" s="481" t="s">
        <v>378</v>
      </c>
      <c r="BG73" s="481"/>
      <c r="BH73" s="481"/>
      <c r="BI73" s="481"/>
      <c r="BJ73" s="481"/>
      <c r="BK73" s="481"/>
      <c r="BL73" s="481"/>
      <c r="BM73" s="481"/>
      <c r="BN73" s="481"/>
      <c r="BO73" s="486"/>
      <c r="BP73" s="487" t="s">
        <v>552</v>
      </c>
      <c r="BQ73" s="481"/>
      <c r="BR73" s="481"/>
      <c r="BS73" s="485" t="s">
        <v>377</v>
      </c>
      <c r="BT73" s="481" t="s">
        <v>378</v>
      </c>
      <c r="BU73" s="481"/>
      <c r="BV73" s="481"/>
      <c r="BW73" s="481"/>
      <c r="BX73" s="481"/>
      <c r="BY73" s="481"/>
      <c r="BZ73" s="481"/>
      <c r="CA73" s="481"/>
      <c r="CB73" s="481"/>
      <c r="CC73" s="486"/>
      <c r="CD73" s="487" t="s">
        <v>553</v>
      </c>
      <c r="CE73" s="481"/>
      <c r="CF73" s="481"/>
      <c r="CG73" s="485" t="s">
        <v>377</v>
      </c>
      <c r="CH73" s="481" t="s">
        <v>378</v>
      </c>
      <c r="CI73" s="481"/>
      <c r="CJ73" s="481"/>
      <c r="CK73" s="481"/>
      <c r="CL73" s="481"/>
      <c r="CM73" s="481"/>
      <c r="CN73" s="481"/>
      <c r="CO73" s="481"/>
      <c r="CP73" s="481"/>
      <c r="CQ73" s="486"/>
      <c r="CR73" s="487" t="s">
        <v>412</v>
      </c>
      <c r="CS73" s="481"/>
      <c r="CT73" s="481"/>
      <c r="CU73" s="485" t="s">
        <v>377</v>
      </c>
      <c r="CV73" s="481" t="s">
        <v>378</v>
      </c>
      <c r="CW73" s="481"/>
      <c r="CX73" s="481"/>
      <c r="CY73" s="481"/>
      <c r="CZ73" s="481"/>
      <c r="DA73" s="481"/>
      <c r="DB73" s="481"/>
      <c r="DC73" s="481"/>
      <c r="DD73" s="481"/>
      <c r="DE73" s="486"/>
      <c r="DF73" s="487" t="s">
        <v>413</v>
      </c>
      <c r="DG73" s="481"/>
      <c r="DH73" s="481"/>
      <c r="DI73" s="485" t="s">
        <v>377</v>
      </c>
      <c r="DJ73" s="481" t="s">
        <v>378</v>
      </c>
      <c r="DK73" s="481"/>
      <c r="DL73" s="481"/>
      <c r="DM73" s="481"/>
      <c r="DN73" s="481"/>
      <c r="DO73" s="481"/>
      <c r="DP73" s="481"/>
      <c r="DQ73" s="481"/>
      <c r="DR73" s="481"/>
      <c r="DS73" s="486"/>
      <c r="DT73" s="487" t="s">
        <v>414</v>
      </c>
      <c r="DU73" s="481"/>
      <c r="DV73" s="481"/>
      <c r="DW73" s="485" t="s">
        <v>377</v>
      </c>
      <c r="DX73" s="481" t="s">
        <v>378</v>
      </c>
      <c r="DY73" s="481"/>
      <c r="DZ73" s="481"/>
      <c r="EA73" s="481"/>
      <c r="EB73" s="481"/>
      <c r="EC73" s="481"/>
      <c r="ED73" s="481"/>
      <c r="EE73" s="481"/>
      <c r="EF73" s="481"/>
      <c r="EG73" s="486"/>
      <c r="EH73" s="487" t="s">
        <v>415</v>
      </c>
      <c r="EI73" s="481"/>
      <c r="EJ73" s="481"/>
      <c r="EK73" s="485" t="s">
        <v>377</v>
      </c>
      <c r="EL73" s="481" t="s">
        <v>378</v>
      </c>
      <c r="EM73" s="481"/>
      <c r="EN73" s="481"/>
      <c r="EO73" s="481"/>
      <c r="EP73" s="481"/>
      <c r="EQ73" s="481"/>
      <c r="ER73" s="481"/>
      <c r="ES73" s="481"/>
      <c r="ET73" s="481"/>
      <c r="EU73" s="486"/>
      <c r="EV73" s="487" t="s">
        <v>416</v>
      </c>
      <c r="EW73" s="481"/>
      <c r="EX73" s="481"/>
      <c r="EY73" s="485" t="s">
        <v>377</v>
      </c>
      <c r="EZ73" s="481" t="s">
        <v>378</v>
      </c>
      <c r="FA73" s="481"/>
      <c r="FB73" s="481"/>
      <c r="FC73" s="481"/>
      <c r="FD73" s="481"/>
      <c r="FE73" s="481"/>
      <c r="FF73" s="481"/>
      <c r="FG73" s="481"/>
      <c r="FH73" s="481"/>
      <c r="FI73" s="486"/>
      <c r="FJ73" s="487" t="s">
        <v>417</v>
      </c>
      <c r="FK73" s="481"/>
      <c r="FL73" s="481"/>
      <c r="FM73" s="485" t="s">
        <v>377</v>
      </c>
      <c r="FN73" s="481" t="s">
        <v>378</v>
      </c>
      <c r="FO73" s="481"/>
      <c r="FP73" s="481"/>
      <c r="FQ73" s="481"/>
      <c r="FR73" s="481"/>
      <c r="FS73" s="481"/>
      <c r="FT73" s="481"/>
      <c r="FU73" s="481"/>
      <c r="FV73" s="481"/>
      <c r="FW73" s="486"/>
      <c r="FX73" s="487" t="s">
        <v>418</v>
      </c>
      <c r="FY73" s="481"/>
      <c r="FZ73" s="481"/>
    </row>
    <row r="74" spans="1:182" ht="9" customHeight="1" x14ac:dyDescent="0.25">
      <c r="A74" s="477"/>
      <c r="B74" s="477"/>
      <c r="C74" s="477"/>
      <c r="D74" s="477"/>
      <c r="E74" s="477"/>
      <c r="F74" s="477"/>
      <c r="G74" s="477"/>
      <c r="H74" s="477"/>
      <c r="I74" s="477"/>
      <c r="J74" s="477"/>
      <c r="K74" s="477"/>
      <c r="L74" s="477"/>
      <c r="M74" s="477"/>
      <c r="N74" s="477"/>
      <c r="O74" s="477"/>
      <c r="P74" s="477"/>
      <c r="Q74" s="477"/>
      <c r="R74" s="477"/>
      <c r="S74" s="477"/>
      <c r="T74" s="477"/>
      <c r="U74" s="477"/>
      <c r="V74" s="477"/>
      <c r="W74" s="477"/>
      <c r="X74" s="477"/>
      <c r="Y74" s="477"/>
      <c r="Z74" s="477"/>
      <c r="AA74" s="477"/>
      <c r="AB74" s="477"/>
      <c r="AC74" s="477"/>
      <c r="AD74" s="477"/>
      <c r="AE74" s="477"/>
      <c r="AF74" s="477"/>
      <c r="AG74" s="477"/>
      <c r="AH74" s="477"/>
      <c r="AI74" s="477"/>
      <c r="AJ74" s="477"/>
      <c r="AK74" s="477"/>
      <c r="AL74" s="477"/>
      <c r="AM74" s="477"/>
      <c r="AN74" s="477"/>
      <c r="AO74" s="477"/>
      <c r="AP74" s="477"/>
      <c r="AQ74" s="477"/>
      <c r="AR74" s="477"/>
      <c r="AS74" s="477"/>
      <c r="AT74" s="477"/>
      <c r="AU74" s="477"/>
      <c r="AV74" s="477"/>
      <c r="AW74" s="477"/>
      <c r="AX74" s="477"/>
      <c r="AY74" s="477"/>
      <c r="AZ74" s="477"/>
      <c r="BA74" s="477"/>
      <c r="BB74" s="477"/>
      <c r="BC74" s="477"/>
      <c r="BD74" s="477"/>
      <c r="BE74" s="477"/>
      <c r="BF74" s="477"/>
      <c r="BG74" s="477"/>
      <c r="BH74" s="477"/>
      <c r="BI74" s="477"/>
      <c r="BJ74" s="477"/>
      <c r="BK74" s="477"/>
      <c r="BL74" s="477"/>
      <c r="BM74" s="477"/>
      <c r="BN74" s="477"/>
      <c r="BO74" s="477"/>
      <c r="BP74" s="477"/>
      <c r="BQ74" s="477"/>
      <c r="BR74" s="477"/>
      <c r="BS74" s="477"/>
      <c r="BT74" s="477"/>
      <c r="BU74" s="477"/>
      <c r="BV74" s="477"/>
      <c r="BW74" s="477"/>
      <c r="BX74" s="477"/>
      <c r="BY74" s="477"/>
      <c r="BZ74" s="477"/>
      <c r="CA74" s="477"/>
      <c r="CB74" s="477"/>
      <c r="CC74" s="477"/>
      <c r="CD74" s="477"/>
      <c r="CE74" s="477"/>
      <c r="CF74" s="477"/>
      <c r="CG74" s="477"/>
      <c r="CH74" s="477"/>
      <c r="CI74" s="477"/>
      <c r="CJ74" s="477"/>
      <c r="CK74" s="477"/>
      <c r="CL74" s="477"/>
      <c r="CM74" s="477"/>
      <c r="CN74" s="477"/>
      <c r="CO74" s="477"/>
      <c r="CP74" s="477"/>
      <c r="CQ74" s="477"/>
      <c r="CR74" s="477"/>
      <c r="CS74" s="477"/>
      <c r="CT74" s="477"/>
      <c r="CU74" s="477"/>
      <c r="CV74" s="477"/>
      <c r="CW74" s="477"/>
      <c r="CX74" s="477"/>
      <c r="CY74" s="477"/>
      <c r="CZ74" s="477"/>
      <c r="DA74" s="477"/>
      <c r="DB74" s="477"/>
      <c r="DC74" s="477"/>
      <c r="DD74" s="477"/>
      <c r="DE74" s="477"/>
      <c r="DF74" s="477"/>
      <c r="DG74" s="477"/>
      <c r="DH74" s="477"/>
      <c r="DI74" s="477"/>
      <c r="DJ74" s="477"/>
      <c r="DK74" s="477"/>
      <c r="DL74" s="477"/>
      <c r="DM74" s="477"/>
      <c r="DN74" s="477"/>
      <c r="DO74" s="477"/>
      <c r="DP74" s="477"/>
      <c r="DQ74" s="477"/>
      <c r="DR74" s="477"/>
      <c r="DS74" s="477"/>
      <c r="DT74" s="477"/>
      <c r="DU74" s="477"/>
      <c r="DV74" s="477"/>
      <c r="DW74" s="477"/>
      <c r="DX74" s="477"/>
      <c r="DY74" s="477"/>
      <c r="DZ74" s="477"/>
      <c r="EA74" s="477"/>
      <c r="EB74" s="477"/>
      <c r="EC74" s="477"/>
      <c r="ED74" s="477"/>
      <c r="EE74" s="477"/>
      <c r="EF74" s="477"/>
      <c r="EG74" s="477"/>
      <c r="EH74" s="477"/>
      <c r="EI74" s="477"/>
      <c r="EJ74" s="477"/>
      <c r="EK74" s="477"/>
      <c r="EL74" s="477"/>
      <c r="EM74" s="477"/>
      <c r="EN74" s="477"/>
      <c r="EO74" s="477"/>
      <c r="EP74" s="477"/>
      <c r="EQ74" s="477"/>
      <c r="ER74" s="477"/>
      <c r="ES74" s="477"/>
      <c r="ET74" s="477"/>
      <c r="EU74" s="477"/>
      <c r="EV74" s="477"/>
      <c r="EW74" s="477"/>
      <c r="EX74" s="477"/>
      <c r="EY74" s="477"/>
      <c r="EZ74" s="477"/>
      <c r="FA74" s="477"/>
      <c r="FB74" s="477"/>
      <c r="FC74" s="477"/>
      <c r="FD74" s="477"/>
      <c r="FE74" s="477"/>
      <c r="FF74" s="477"/>
      <c r="FG74" s="477"/>
      <c r="FH74" s="477"/>
      <c r="FI74" s="477"/>
      <c r="FJ74" s="477"/>
      <c r="FK74" s="477"/>
      <c r="FL74" s="477"/>
      <c r="FM74" s="477"/>
      <c r="FN74" s="477"/>
      <c r="FO74" s="477"/>
      <c r="FP74" s="477"/>
      <c r="FQ74" s="477"/>
      <c r="FR74" s="477"/>
      <c r="FS74" s="477"/>
      <c r="FT74" s="477"/>
      <c r="FU74" s="477"/>
      <c r="FV74" s="477"/>
      <c r="FW74" s="477"/>
      <c r="FX74" s="477"/>
      <c r="FY74" s="477"/>
      <c r="FZ74" s="477"/>
    </row>
    <row r="75" spans="1:182" s="488" customFormat="1" ht="19.350000000000001" customHeight="1" x14ac:dyDescent="0.2">
      <c r="A75" s="1058" t="s">
        <v>386</v>
      </c>
      <c r="B75" s="1056"/>
      <c r="C75" s="1056" t="str">
        <f>C11</f>
        <v>EQUI 4</v>
      </c>
      <c r="D75" s="1056"/>
      <c r="E75" s="1056"/>
      <c r="F75" s="1056"/>
      <c r="G75" s="1056" t="str">
        <f>G11</f>
        <v>EQUI 20</v>
      </c>
      <c r="H75" s="1056"/>
      <c r="I75" s="1056"/>
      <c r="J75" s="1056"/>
      <c r="K75" s="1056" t="str">
        <f>K11</f>
        <v>EQUI 21</v>
      </c>
      <c r="L75" s="1056"/>
      <c r="M75" s="1056"/>
      <c r="N75" s="1057"/>
      <c r="O75" s="1058" t="s">
        <v>386</v>
      </c>
      <c r="P75" s="1056"/>
      <c r="Q75" s="1056" t="str">
        <f>Q11</f>
        <v>EQUI 5</v>
      </c>
      <c r="R75" s="1056"/>
      <c r="S75" s="1056"/>
      <c r="T75" s="1056"/>
      <c r="U75" s="1056" t="str">
        <f>U11</f>
        <v>EQUI 1</v>
      </c>
      <c r="V75" s="1056"/>
      <c r="W75" s="1056"/>
      <c r="X75" s="1056"/>
      <c r="Y75" s="1056" t="str">
        <f>Y11</f>
        <v>EQUI 2</v>
      </c>
      <c r="Z75" s="1056"/>
      <c r="AA75" s="1056"/>
      <c r="AB75" s="1057"/>
      <c r="AC75" s="1058" t="s">
        <v>386</v>
      </c>
      <c r="AD75" s="1056"/>
      <c r="AE75" s="1056" t="str">
        <f>AE11</f>
        <v>EQUI 3</v>
      </c>
      <c r="AF75" s="1056"/>
      <c r="AG75" s="1056"/>
      <c r="AH75" s="1056"/>
      <c r="AI75" s="1056" t="str">
        <f>AI11</f>
        <v>EQUI 16</v>
      </c>
      <c r="AJ75" s="1056"/>
      <c r="AK75" s="1056"/>
      <c r="AL75" s="1056"/>
      <c r="AM75" s="1057" t="str">
        <f>AM11</f>
        <v>EQUI 17</v>
      </c>
      <c r="AN75" s="1059"/>
      <c r="AO75" s="1059"/>
      <c r="AP75" s="1059"/>
      <c r="AQ75" s="1058" t="s">
        <v>386</v>
      </c>
      <c r="AR75" s="1056"/>
      <c r="AS75" s="1057" t="str">
        <f>AS11</f>
        <v>EQUI 18</v>
      </c>
      <c r="AT75" s="1059"/>
      <c r="AU75" s="1059"/>
      <c r="AV75" s="1058"/>
      <c r="AW75" s="1057" t="str">
        <f>AW11</f>
        <v>EQUI 66</v>
      </c>
      <c r="AX75" s="1059"/>
      <c r="AY75" s="1059"/>
      <c r="AZ75" s="1058"/>
      <c r="BA75" s="1057" t="str">
        <f>BA11</f>
        <v>EQUI 8</v>
      </c>
      <c r="BB75" s="1059"/>
      <c r="BC75" s="1059"/>
      <c r="BD75" s="1059"/>
      <c r="BE75" s="1058" t="s">
        <v>386</v>
      </c>
      <c r="BF75" s="1056"/>
      <c r="BG75" s="1057" t="str">
        <f>BG11</f>
        <v>EQUI 9</v>
      </c>
      <c r="BH75" s="1059"/>
      <c r="BI75" s="1059"/>
      <c r="BJ75" s="1058"/>
      <c r="BK75" s="1057" t="str">
        <f>BK11</f>
        <v>EQUI 10</v>
      </c>
      <c r="BL75" s="1059"/>
      <c r="BM75" s="1059"/>
      <c r="BN75" s="1058"/>
      <c r="BO75" s="1057" t="str">
        <f>BO11</f>
        <v>FS001</v>
      </c>
      <c r="BP75" s="1059"/>
      <c r="BQ75" s="1059"/>
      <c r="BR75" s="1059"/>
      <c r="BS75" s="1058" t="s">
        <v>386</v>
      </c>
      <c r="BT75" s="1056"/>
      <c r="BU75" s="1057" t="str">
        <f>BU11</f>
        <v>FS002</v>
      </c>
      <c r="BV75" s="1059"/>
      <c r="BW75" s="1059"/>
      <c r="BX75" s="1058"/>
      <c r="BY75" s="1060">
        <f>BY11</f>
        <v>0</v>
      </c>
      <c r="BZ75" s="1061"/>
      <c r="CA75" s="1061"/>
      <c r="CB75" s="1062"/>
      <c r="CC75" s="1060">
        <f>CC11</f>
        <v>0</v>
      </c>
      <c r="CD75" s="1061"/>
      <c r="CE75" s="1061"/>
      <c r="CF75" s="1061"/>
      <c r="CG75" s="1058" t="s">
        <v>386</v>
      </c>
      <c r="CH75" s="1056"/>
      <c r="CI75" s="1057">
        <f>CI11</f>
        <v>0</v>
      </c>
      <c r="CJ75" s="1059"/>
      <c r="CK75" s="1059"/>
      <c r="CL75" s="1058"/>
      <c r="CM75" s="1057">
        <f>CM11</f>
        <v>0</v>
      </c>
      <c r="CN75" s="1059"/>
      <c r="CO75" s="1059"/>
      <c r="CP75" s="1058"/>
      <c r="CQ75" s="1057">
        <f>CQ11</f>
        <v>0</v>
      </c>
      <c r="CR75" s="1059"/>
      <c r="CS75" s="1059"/>
      <c r="CT75" s="1059"/>
      <c r="CU75" s="1058" t="s">
        <v>386</v>
      </c>
      <c r="CV75" s="1056"/>
      <c r="CW75" s="1057">
        <f>CW11</f>
        <v>0</v>
      </c>
      <c r="CX75" s="1059"/>
      <c r="CY75" s="1059"/>
      <c r="CZ75" s="1058"/>
      <c r="DA75" s="1057">
        <f>DA11</f>
        <v>0</v>
      </c>
      <c r="DB75" s="1059"/>
      <c r="DC75" s="1059"/>
      <c r="DD75" s="1058"/>
      <c r="DE75" s="1057" t="s">
        <v>387</v>
      </c>
      <c r="DF75" s="1059"/>
      <c r="DG75" s="1059"/>
      <c r="DH75" s="1059"/>
      <c r="DI75" s="1058" t="s">
        <v>386</v>
      </c>
      <c r="DJ75" s="1056"/>
      <c r="DK75" s="1057" t="s">
        <v>388</v>
      </c>
      <c r="DL75" s="1059"/>
      <c r="DM75" s="1059"/>
      <c r="DN75" s="1058"/>
      <c r="DO75" s="1056">
        <f>DO11</f>
        <v>0</v>
      </c>
      <c r="DP75" s="1056"/>
      <c r="DQ75" s="1056"/>
      <c r="DR75" s="1056"/>
      <c r="DS75" s="1056">
        <f>DS11</f>
        <v>0</v>
      </c>
      <c r="DT75" s="1056"/>
      <c r="DU75" s="1056"/>
      <c r="DV75" s="1057"/>
      <c r="DW75" s="1058" t="s">
        <v>386</v>
      </c>
      <c r="DX75" s="1056"/>
      <c r="DY75" s="1056">
        <f>DY11</f>
        <v>0</v>
      </c>
      <c r="DZ75" s="1056"/>
      <c r="EA75" s="1056"/>
      <c r="EB75" s="1056"/>
      <c r="EC75" s="1056">
        <f>EC11</f>
        <v>0</v>
      </c>
      <c r="ED75" s="1056"/>
      <c r="EE75" s="1056"/>
      <c r="EF75" s="1056"/>
      <c r="EG75" s="1056">
        <f>EG11</f>
        <v>0</v>
      </c>
      <c r="EH75" s="1056"/>
      <c r="EI75" s="1056"/>
      <c r="EJ75" s="1057"/>
      <c r="EK75" s="1058" t="s">
        <v>386</v>
      </c>
      <c r="EL75" s="1056"/>
      <c r="EM75" s="1056">
        <f>EM11</f>
        <v>0</v>
      </c>
      <c r="EN75" s="1056"/>
      <c r="EO75" s="1056"/>
      <c r="EP75" s="1056"/>
      <c r="EQ75" s="1056">
        <f>EQ11</f>
        <v>0</v>
      </c>
      <c r="ER75" s="1056"/>
      <c r="ES75" s="1056"/>
      <c r="ET75" s="1056"/>
      <c r="EU75" s="1056">
        <f>EU11</f>
        <v>0</v>
      </c>
      <c r="EV75" s="1056"/>
      <c r="EW75" s="1056"/>
      <c r="EX75" s="1057"/>
      <c r="EY75" s="1058" t="s">
        <v>386</v>
      </c>
      <c r="EZ75" s="1056"/>
      <c r="FA75" s="1056">
        <f>FA11</f>
        <v>0</v>
      </c>
      <c r="FB75" s="1056"/>
      <c r="FC75" s="1056"/>
      <c r="FD75" s="1056"/>
      <c r="FE75" s="1056">
        <f>FE11</f>
        <v>0</v>
      </c>
      <c r="FF75" s="1056"/>
      <c r="FG75" s="1056"/>
      <c r="FH75" s="1056"/>
      <c r="FI75" s="1056">
        <f>FI11</f>
        <v>0</v>
      </c>
      <c r="FJ75" s="1056"/>
      <c r="FK75" s="1056"/>
      <c r="FL75" s="1057"/>
      <c r="FM75" s="1058" t="s">
        <v>386</v>
      </c>
      <c r="FN75" s="1056"/>
      <c r="FO75" s="1056">
        <f>FO11</f>
        <v>0</v>
      </c>
      <c r="FP75" s="1056"/>
      <c r="FQ75" s="1056"/>
      <c r="FR75" s="1056"/>
      <c r="FS75" s="1056"/>
      <c r="FT75" s="1056"/>
      <c r="FU75" s="1056"/>
      <c r="FV75" s="1056"/>
      <c r="FW75" s="1056"/>
      <c r="FX75" s="1056"/>
      <c r="FY75" s="1056"/>
      <c r="FZ75" s="1057"/>
    </row>
    <row r="76" spans="1:182" s="488" customFormat="1" ht="19.350000000000001" customHeight="1" x14ac:dyDescent="0.2">
      <c r="A76" s="1054" t="s">
        <v>390</v>
      </c>
      <c r="B76" s="1052"/>
      <c r="C76" s="1052"/>
      <c r="D76" s="1052"/>
      <c r="E76" s="1052"/>
      <c r="F76" s="1052"/>
      <c r="G76" s="1052"/>
      <c r="H76" s="1052"/>
      <c r="I76" s="1052"/>
      <c r="J76" s="1052"/>
      <c r="K76" s="1052"/>
      <c r="L76" s="1052"/>
      <c r="M76" s="1052"/>
      <c r="N76" s="1053"/>
      <c r="O76" s="1054" t="s">
        <v>390</v>
      </c>
      <c r="P76" s="1052"/>
      <c r="Q76" s="1052"/>
      <c r="R76" s="1052"/>
      <c r="S76" s="1052"/>
      <c r="T76" s="1052"/>
      <c r="U76" s="1052"/>
      <c r="V76" s="1052"/>
      <c r="W76" s="1052"/>
      <c r="X76" s="1052"/>
      <c r="Y76" s="1052"/>
      <c r="Z76" s="1052"/>
      <c r="AA76" s="1052"/>
      <c r="AB76" s="1053"/>
      <c r="AC76" s="1054" t="s">
        <v>390</v>
      </c>
      <c r="AD76" s="1052"/>
      <c r="AE76" s="1052"/>
      <c r="AF76" s="1052"/>
      <c r="AG76" s="1052"/>
      <c r="AH76" s="1052"/>
      <c r="AI76" s="1052"/>
      <c r="AJ76" s="1052"/>
      <c r="AK76" s="1052"/>
      <c r="AL76" s="1052"/>
      <c r="AM76" s="1053"/>
      <c r="AN76" s="1055"/>
      <c r="AO76" s="1055"/>
      <c r="AP76" s="1055"/>
      <c r="AQ76" s="1054" t="s">
        <v>390</v>
      </c>
      <c r="AR76" s="1052"/>
      <c r="AS76" s="1053"/>
      <c r="AT76" s="1055"/>
      <c r="AU76" s="1055"/>
      <c r="AV76" s="1054"/>
      <c r="AW76" s="1053"/>
      <c r="AX76" s="1055"/>
      <c r="AY76" s="1055"/>
      <c r="AZ76" s="1054"/>
      <c r="BA76" s="1053"/>
      <c r="BB76" s="1055"/>
      <c r="BC76" s="1055"/>
      <c r="BD76" s="1055"/>
      <c r="BE76" s="1054" t="s">
        <v>390</v>
      </c>
      <c r="BF76" s="1052"/>
      <c r="BG76" s="1052"/>
      <c r="BH76" s="1052"/>
      <c r="BI76" s="1052"/>
      <c r="BJ76" s="1052"/>
      <c r="BK76" s="1052"/>
      <c r="BL76" s="1052"/>
      <c r="BM76" s="1052"/>
      <c r="BN76" s="1052"/>
      <c r="BO76" s="1052"/>
      <c r="BP76" s="1052"/>
      <c r="BQ76" s="1052"/>
      <c r="BR76" s="1053"/>
      <c r="BS76" s="1054" t="s">
        <v>390</v>
      </c>
      <c r="BT76" s="1052"/>
      <c r="BU76" s="1052"/>
      <c r="BV76" s="1052"/>
      <c r="BW76" s="1052"/>
      <c r="BX76" s="1052"/>
      <c r="BY76" s="1052"/>
      <c r="BZ76" s="1052"/>
      <c r="CA76" s="1052"/>
      <c r="CB76" s="1052"/>
      <c r="CC76" s="1052"/>
      <c r="CD76" s="1052"/>
      <c r="CE76" s="1052"/>
      <c r="CF76" s="1053"/>
      <c r="CG76" s="1054" t="s">
        <v>390</v>
      </c>
      <c r="CH76" s="1052"/>
      <c r="CI76" s="1052"/>
      <c r="CJ76" s="1052"/>
      <c r="CK76" s="1052"/>
      <c r="CL76" s="1052"/>
      <c r="CM76" s="1052"/>
      <c r="CN76" s="1052"/>
      <c r="CO76" s="1052"/>
      <c r="CP76" s="1052"/>
      <c r="CQ76" s="1052"/>
      <c r="CR76" s="1052"/>
      <c r="CS76" s="1052"/>
      <c r="CT76" s="1053"/>
      <c r="CU76" s="1054" t="s">
        <v>390</v>
      </c>
      <c r="CV76" s="1052"/>
      <c r="CW76" s="1052"/>
      <c r="CX76" s="1052"/>
      <c r="CY76" s="1052"/>
      <c r="CZ76" s="1052"/>
      <c r="DA76" s="1052"/>
      <c r="DB76" s="1052"/>
      <c r="DC76" s="1052"/>
      <c r="DD76" s="1052"/>
      <c r="DE76" s="1052"/>
      <c r="DF76" s="1052"/>
      <c r="DG76" s="1052"/>
      <c r="DH76" s="1053"/>
      <c r="DI76" s="1054" t="s">
        <v>390</v>
      </c>
      <c r="DJ76" s="1052"/>
      <c r="DK76" s="1052"/>
      <c r="DL76" s="1052"/>
      <c r="DM76" s="1052"/>
      <c r="DN76" s="1052"/>
      <c r="DO76" s="1052"/>
      <c r="DP76" s="1052"/>
      <c r="DQ76" s="1052"/>
      <c r="DR76" s="1052"/>
      <c r="DS76" s="1052"/>
      <c r="DT76" s="1052"/>
      <c r="DU76" s="1052"/>
      <c r="DV76" s="1053"/>
      <c r="DW76" s="1054" t="s">
        <v>390</v>
      </c>
      <c r="DX76" s="1052"/>
      <c r="DY76" s="1052"/>
      <c r="DZ76" s="1052"/>
      <c r="EA76" s="1052"/>
      <c r="EB76" s="1052"/>
      <c r="EC76" s="1052"/>
      <c r="ED76" s="1052"/>
      <c r="EE76" s="1052"/>
      <c r="EF76" s="1052"/>
      <c r="EG76" s="1052"/>
      <c r="EH76" s="1052"/>
      <c r="EI76" s="1052"/>
      <c r="EJ76" s="1053"/>
      <c r="EK76" s="1054" t="s">
        <v>390</v>
      </c>
      <c r="EL76" s="1052"/>
      <c r="EM76" s="1052"/>
      <c r="EN76" s="1052"/>
      <c r="EO76" s="1052"/>
      <c r="EP76" s="1052"/>
      <c r="EQ76" s="1052"/>
      <c r="ER76" s="1052"/>
      <c r="ES76" s="1052"/>
      <c r="ET76" s="1052"/>
      <c r="EU76" s="1052"/>
      <c r="EV76" s="1052"/>
      <c r="EW76" s="1052"/>
      <c r="EX76" s="1053"/>
      <c r="EY76" s="1054" t="s">
        <v>390</v>
      </c>
      <c r="EZ76" s="1052"/>
      <c r="FA76" s="1052"/>
      <c r="FB76" s="1052"/>
      <c r="FC76" s="1052"/>
      <c r="FD76" s="1052"/>
      <c r="FE76" s="1052"/>
      <c r="FF76" s="1052"/>
      <c r="FG76" s="1052"/>
      <c r="FH76" s="1052"/>
      <c r="FI76" s="1052"/>
      <c r="FJ76" s="1052"/>
      <c r="FK76" s="1052"/>
      <c r="FL76" s="1053"/>
      <c r="FM76" s="1054" t="s">
        <v>390</v>
      </c>
      <c r="FN76" s="1052"/>
      <c r="FO76" s="1052"/>
      <c r="FP76" s="1052"/>
      <c r="FQ76" s="1052"/>
      <c r="FR76" s="1052"/>
      <c r="FS76" s="1052"/>
      <c r="FT76" s="1052"/>
      <c r="FU76" s="1052"/>
      <c r="FV76" s="1052"/>
      <c r="FW76" s="1052"/>
      <c r="FX76" s="1052"/>
      <c r="FY76" s="1052"/>
      <c r="FZ76" s="1053"/>
    </row>
    <row r="77" spans="1:182" ht="19.350000000000001" customHeight="1" x14ac:dyDescent="0.2">
      <c r="A77" s="489" t="s">
        <v>391</v>
      </c>
      <c r="B77" s="490" t="s">
        <v>392</v>
      </c>
      <c r="C77" s="1044" t="s">
        <v>393</v>
      </c>
      <c r="D77" s="1045"/>
      <c r="E77" s="1046"/>
      <c r="F77" s="491" t="s">
        <v>394</v>
      </c>
      <c r="G77" s="1044" t="s">
        <v>393</v>
      </c>
      <c r="H77" s="1045"/>
      <c r="I77" s="1046"/>
      <c r="J77" s="492" t="s">
        <v>394</v>
      </c>
      <c r="K77" s="1044" t="s">
        <v>393</v>
      </c>
      <c r="L77" s="1045"/>
      <c r="M77" s="1046"/>
      <c r="N77" s="493" t="s">
        <v>394</v>
      </c>
      <c r="O77" s="489" t="s">
        <v>391</v>
      </c>
      <c r="P77" s="490" t="s">
        <v>392</v>
      </c>
      <c r="Q77" s="1044" t="s">
        <v>393</v>
      </c>
      <c r="R77" s="1045"/>
      <c r="S77" s="1046"/>
      <c r="T77" s="492" t="s">
        <v>394</v>
      </c>
      <c r="U77" s="1044" t="s">
        <v>393</v>
      </c>
      <c r="V77" s="1045"/>
      <c r="W77" s="1046"/>
      <c r="X77" s="492" t="s">
        <v>394</v>
      </c>
      <c r="Y77" s="1044" t="s">
        <v>393</v>
      </c>
      <c r="Z77" s="1045"/>
      <c r="AA77" s="1046"/>
      <c r="AB77" s="491" t="s">
        <v>394</v>
      </c>
      <c r="AC77" s="489" t="s">
        <v>391</v>
      </c>
      <c r="AD77" s="490" t="s">
        <v>392</v>
      </c>
      <c r="AE77" s="1049" t="s">
        <v>393</v>
      </c>
      <c r="AF77" s="1050"/>
      <c r="AG77" s="1051"/>
      <c r="AH77" s="491" t="s">
        <v>394</v>
      </c>
      <c r="AI77" s="1044" t="s">
        <v>393</v>
      </c>
      <c r="AJ77" s="1045"/>
      <c r="AK77" s="1046"/>
      <c r="AL77" s="491" t="s">
        <v>394</v>
      </c>
      <c r="AM77" s="1044" t="s">
        <v>393</v>
      </c>
      <c r="AN77" s="1045"/>
      <c r="AO77" s="1046"/>
      <c r="AP77" s="491" t="s">
        <v>394</v>
      </c>
      <c r="AQ77" s="489" t="s">
        <v>391</v>
      </c>
      <c r="AR77" s="490" t="s">
        <v>392</v>
      </c>
      <c r="AS77" s="1044" t="s">
        <v>393</v>
      </c>
      <c r="AT77" s="1045"/>
      <c r="AU77" s="1046"/>
      <c r="AV77" s="491" t="s">
        <v>394</v>
      </c>
      <c r="AW77" s="1044" t="s">
        <v>393</v>
      </c>
      <c r="AX77" s="1045"/>
      <c r="AY77" s="1046"/>
      <c r="AZ77" s="491" t="s">
        <v>394</v>
      </c>
      <c r="BA77" s="1044" t="s">
        <v>393</v>
      </c>
      <c r="BB77" s="1045"/>
      <c r="BC77" s="1046"/>
      <c r="BD77" s="491" t="s">
        <v>394</v>
      </c>
      <c r="BE77" s="489" t="s">
        <v>391</v>
      </c>
      <c r="BF77" s="490" t="s">
        <v>392</v>
      </c>
      <c r="BG77" s="1044" t="s">
        <v>393</v>
      </c>
      <c r="BH77" s="1045"/>
      <c r="BI77" s="1046"/>
      <c r="BJ77" s="491" t="s">
        <v>394</v>
      </c>
      <c r="BK77" s="1044" t="s">
        <v>393</v>
      </c>
      <c r="BL77" s="1045"/>
      <c r="BM77" s="1046"/>
      <c r="BN77" s="491" t="s">
        <v>394</v>
      </c>
      <c r="BO77" s="1044" t="s">
        <v>393</v>
      </c>
      <c r="BP77" s="1045"/>
      <c r="BQ77" s="1046"/>
      <c r="BR77" s="493" t="s">
        <v>394</v>
      </c>
      <c r="BS77" s="489" t="s">
        <v>391</v>
      </c>
      <c r="BT77" s="490" t="s">
        <v>392</v>
      </c>
      <c r="BU77" s="1044" t="s">
        <v>393</v>
      </c>
      <c r="BV77" s="1045"/>
      <c r="BW77" s="1046"/>
      <c r="BX77" s="491" t="s">
        <v>394</v>
      </c>
      <c r="BY77" s="1049" t="s">
        <v>393</v>
      </c>
      <c r="BZ77" s="1050"/>
      <c r="CA77" s="1051"/>
      <c r="CB77" s="492" t="s">
        <v>394</v>
      </c>
      <c r="CC77" s="1047" t="s">
        <v>393</v>
      </c>
      <c r="CD77" s="1047"/>
      <c r="CE77" s="1048"/>
      <c r="CF77" s="491" t="s">
        <v>394</v>
      </c>
      <c r="CG77" s="489" t="s">
        <v>391</v>
      </c>
      <c r="CH77" s="490" t="s">
        <v>392</v>
      </c>
      <c r="CI77" s="1044" t="s">
        <v>393</v>
      </c>
      <c r="CJ77" s="1045"/>
      <c r="CK77" s="1046"/>
      <c r="CL77" s="491" t="s">
        <v>394</v>
      </c>
      <c r="CM77" s="1044" t="s">
        <v>393</v>
      </c>
      <c r="CN77" s="1045"/>
      <c r="CO77" s="1046"/>
      <c r="CP77" s="494" t="s">
        <v>394</v>
      </c>
      <c r="CQ77" s="1049" t="s">
        <v>393</v>
      </c>
      <c r="CR77" s="1050"/>
      <c r="CS77" s="1051"/>
      <c r="CT77" s="493" t="s">
        <v>394</v>
      </c>
      <c r="CU77" s="489" t="s">
        <v>391</v>
      </c>
      <c r="CV77" s="490" t="s">
        <v>392</v>
      </c>
      <c r="CW77" s="1047" t="s">
        <v>393</v>
      </c>
      <c r="CX77" s="1047"/>
      <c r="CY77" s="1048"/>
      <c r="CZ77" s="491" t="s">
        <v>394</v>
      </c>
      <c r="DA77" s="1044" t="s">
        <v>393</v>
      </c>
      <c r="DB77" s="1045"/>
      <c r="DC77" s="1046"/>
      <c r="DD77" s="491" t="s">
        <v>394</v>
      </c>
      <c r="DE77" s="1049" t="s">
        <v>393</v>
      </c>
      <c r="DF77" s="1050"/>
      <c r="DG77" s="1051"/>
      <c r="DH77" s="493" t="s">
        <v>394</v>
      </c>
      <c r="DI77" s="489" t="s">
        <v>391</v>
      </c>
      <c r="DJ77" s="490" t="s">
        <v>392</v>
      </c>
      <c r="DK77" s="1049" t="s">
        <v>393</v>
      </c>
      <c r="DL77" s="1050"/>
      <c r="DM77" s="1051"/>
      <c r="DN77" s="492" t="s">
        <v>394</v>
      </c>
      <c r="DO77" s="1047" t="s">
        <v>393</v>
      </c>
      <c r="DP77" s="1047"/>
      <c r="DQ77" s="1048"/>
      <c r="DR77" s="491" t="s">
        <v>394</v>
      </c>
      <c r="DS77" s="1044" t="s">
        <v>393</v>
      </c>
      <c r="DT77" s="1045"/>
      <c r="DU77" s="1046"/>
      <c r="DV77" s="491" t="s">
        <v>394</v>
      </c>
      <c r="DW77" s="489" t="s">
        <v>391</v>
      </c>
      <c r="DX77" s="490" t="s">
        <v>392</v>
      </c>
      <c r="DY77" s="1044" t="s">
        <v>393</v>
      </c>
      <c r="DZ77" s="1045"/>
      <c r="EA77" s="1046"/>
      <c r="EB77" s="494" t="s">
        <v>394</v>
      </c>
      <c r="EC77" s="1044" t="s">
        <v>393</v>
      </c>
      <c r="ED77" s="1045"/>
      <c r="EE77" s="1046"/>
      <c r="EF77" s="494" t="s">
        <v>394</v>
      </c>
      <c r="EG77" s="1044" t="s">
        <v>393</v>
      </c>
      <c r="EH77" s="1045"/>
      <c r="EI77" s="1046"/>
      <c r="EJ77" s="491" t="s">
        <v>394</v>
      </c>
      <c r="EK77" s="489" t="s">
        <v>391</v>
      </c>
      <c r="EL77" s="490" t="s">
        <v>392</v>
      </c>
      <c r="EM77" s="1044" t="s">
        <v>393</v>
      </c>
      <c r="EN77" s="1045"/>
      <c r="EO77" s="1046"/>
      <c r="EP77" s="494" t="s">
        <v>394</v>
      </c>
      <c r="EQ77" s="1044" t="s">
        <v>393</v>
      </c>
      <c r="ER77" s="1045"/>
      <c r="ES77" s="1046"/>
      <c r="ET77" s="494" t="s">
        <v>394</v>
      </c>
      <c r="EU77" s="1044" t="s">
        <v>393</v>
      </c>
      <c r="EV77" s="1045"/>
      <c r="EW77" s="1046"/>
      <c r="EX77" s="491" t="s">
        <v>394</v>
      </c>
      <c r="EY77" s="489" t="s">
        <v>391</v>
      </c>
      <c r="EZ77" s="490" t="s">
        <v>392</v>
      </c>
      <c r="FA77" s="1044" t="s">
        <v>393</v>
      </c>
      <c r="FB77" s="1045"/>
      <c r="FC77" s="1046"/>
      <c r="FD77" s="494" t="s">
        <v>394</v>
      </c>
      <c r="FE77" s="1044" t="s">
        <v>393</v>
      </c>
      <c r="FF77" s="1045"/>
      <c r="FG77" s="1046"/>
      <c r="FH77" s="494" t="s">
        <v>394</v>
      </c>
      <c r="FI77" s="1044" t="s">
        <v>393</v>
      </c>
      <c r="FJ77" s="1045"/>
      <c r="FK77" s="1046"/>
      <c r="FL77" s="491" t="s">
        <v>394</v>
      </c>
      <c r="FM77" s="489" t="s">
        <v>391</v>
      </c>
      <c r="FN77" s="490" t="s">
        <v>392</v>
      </c>
      <c r="FO77" s="1044" t="s">
        <v>393</v>
      </c>
      <c r="FP77" s="1045"/>
      <c r="FQ77" s="1046"/>
      <c r="FR77" s="494" t="s">
        <v>394</v>
      </c>
      <c r="FS77" s="1044" t="s">
        <v>393</v>
      </c>
      <c r="FT77" s="1045"/>
      <c r="FU77" s="1046"/>
      <c r="FV77" s="494" t="s">
        <v>394</v>
      </c>
      <c r="FW77" s="1044" t="s">
        <v>393</v>
      </c>
      <c r="FX77" s="1045"/>
      <c r="FY77" s="1046"/>
      <c r="FZ77" s="491" t="s">
        <v>394</v>
      </c>
    </row>
    <row r="78" spans="1:182" ht="30" customHeight="1" x14ac:dyDescent="0.2">
      <c r="A78" s="495" t="s">
        <v>395</v>
      </c>
      <c r="B78" s="496" t="s">
        <v>396</v>
      </c>
      <c r="C78" s="497" t="s">
        <v>397</v>
      </c>
      <c r="D78" s="496" t="s">
        <v>398</v>
      </c>
      <c r="E78" s="496" t="s">
        <v>399</v>
      </c>
      <c r="F78" s="496" t="s">
        <v>400</v>
      </c>
      <c r="G78" s="496" t="s">
        <v>397</v>
      </c>
      <c r="H78" s="496" t="s">
        <v>398</v>
      </c>
      <c r="I78" s="496" t="s">
        <v>399</v>
      </c>
      <c r="J78" s="496" t="s">
        <v>400</v>
      </c>
      <c r="K78" s="496" t="s">
        <v>397</v>
      </c>
      <c r="L78" s="496" t="s">
        <v>398</v>
      </c>
      <c r="M78" s="496" t="s">
        <v>399</v>
      </c>
      <c r="N78" s="498" t="s">
        <v>400</v>
      </c>
      <c r="O78" s="495" t="s">
        <v>395</v>
      </c>
      <c r="P78" s="496" t="s">
        <v>396</v>
      </c>
      <c r="Q78" s="496" t="s">
        <v>397</v>
      </c>
      <c r="R78" s="496" t="s">
        <v>398</v>
      </c>
      <c r="S78" s="496" t="s">
        <v>399</v>
      </c>
      <c r="T78" s="496" t="s">
        <v>400</v>
      </c>
      <c r="U78" s="496" t="s">
        <v>397</v>
      </c>
      <c r="V78" s="496" t="s">
        <v>398</v>
      </c>
      <c r="W78" s="496" t="s">
        <v>399</v>
      </c>
      <c r="X78" s="496" t="s">
        <v>400</v>
      </c>
      <c r="Y78" s="496" t="s">
        <v>397</v>
      </c>
      <c r="Z78" s="496" t="s">
        <v>398</v>
      </c>
      <c r="AA78" s="496" t="s">
        <v>399</v>
      </c>
      <c r="AB78" s="498" t="s">
        <v>400</v>
      </c>
      <c r="AC78" s="495" t="s">
        <v>395</v>
      </c>
      <c r="AD78" s="496" t="s">
        <v>396</v>
      </c>
      <c r="AE78" s="499" t="s">
        <v>397</v>
      </c>
      <c r="AF78" s="499" t="s">
        <v>398</v>
      </c>
      <c r="AG78" s="499" t="s">
        <v>399</v>
      </c>
      <c r="AH78" s="496" t="s">
        <v>400</v>
      </c>
      <c r="AI78" s="496" t="s">
        <v>397</v>
      </c>
      <c r="AJ78" s="496" t="s">
        <v>398</v>
      </c>
      <c r="AK78" s="496" t="s">
        <v>399</v>
      </c>
      <c r="AL78" s="496" t="s">
        <v>400</v>
      </c>
      <c r="AM78" s="496" t="s">
        <v>397</v>
      </c>
      <c r="AN78" s="496" t="s">
        <v>398</v>
      </c>
      <c r="AO78" s="496" t="s">
        <v>399</v>
      </c>
      <c r="AP78" s="498" t="s">
        <v>400</v>
      </c>
      <c r="AQ78" s="495" t="s">
        <v>395</v>
      </c>
      <c r="AR78" s="496" t="s">
        <v>396</v>
      </c>
      <c r="AS78" s="496" t="s">
        <v>397</v>
      </c>
      <c r="AT78" s="496" t="s">
        <v>398</v>
      </c>
      <c r="AU78" s="496" t="s">
        <v>399</v>
      </c>
      <c r="AV78" s="496" t="s">
        <v>400</v>
      </c>
      <c r="AW78" s="496" t="s">
        <v>397</v>
      </c>
      <c r="AX78" s="496" t="s">
        <v>398</v>
      </c>
      <c r="AY78" s="496" t="s">
        <v>399</v>
      </c>
      <c r="AZ78" s="496" t="s">
        <v>400</v>
      </c>
      <c r="BA78" s="496" t="s">
        <v>397</v>
      </c>
      <c r="BB78" s="496" t="s">
        <v>398</v>
      </c>
      <c r="BC78" s="496" t="s">
        <v>399</v>
      </c>
      <c r="BD78" s="498" t="s">
        <v>400</v>
      </c>
      <c r="BE78" s="495" t="s">
        <v>395</v>
      </c>
      <c r="BF78" s="496" t="s">
        <v>396</v>
      </c>
      <c r="BG78" s="496" t="s">
        <v>397</v>
      </c>
      <c r="BH78" s="496" t="s">
        <v>398</v>
      </c>
      <c r="BI78" s="496" t="s">
        <v>399</v>
      </c>
      <c r="BJ78" s="496" t="s">
        <v>400</v>
      </c>
      <c r="BK78" s="496" t="s">
        <v>397</v>
      </c>
      <c r="BL78" s="496" t="s">
        <v>398</v>
      </c>
      <c r="BM78" s="496" t="s">
        <v>399</v>
      </c>
      <c r="BN78" s="496" t="s">
        <v>400</v>
      </c>
      <c r="BO78" s="496" t="s">
        <v>397</v>
      </c>
      <c r="BP78" s="496" t="s">
        <v>398</v>
      </c>
      <c r="BQ78" s="496" t="s">
        <v>399</v>
      </c>
      <c r="BR78" s="498" t="s">
        <v>400</v>
      </c>
      <c r="BS78" s="495" t="s">
        <v>395</v>
      </c>
      <c r="BT78" s="496" t="s">
        <v>396</v>
      </c>
      <c r="BU78" s="496" t="s">
        <v>397</v>
      </c>
      <c r="BV78" s="496" t="s">
        <v>398</v>
      </c>
      <c r="BW78" s="496" t="s">
        <v>399</v>
      </c>
      <c r="BX78" s="496" t="s">
        <v>400</v>
      </c>
      <c r="BY78" s="499" t="s">
        <v>397</v>
      </c>
      <c r="BZ78" s="499" t="s">
        <v>398</v>
      </c>
      <c r="CA78" s="499" t="s">
        <v>399</v>
      </c>
      <c r="CB78" s="496" t="s">
        <v>400</v>
      </c>
      <c r="CC78" s="499" t="s">
        <v>397</v>
      </c>
      <c r="CD78" s="499" t="s">
        <v>398</v>
      </c>
      <c r="CE78" s="499" t="s">
        <v>399</v>
      </c>
      <c r="CF78" s="498" t="s">
        <v>400</v>
      </c>
      <c r="CG78" s="495" t="s">
        <v>395</v>
      </c>
      <c r="CH78" s="496" t="s">
        <v>396</v>
      </c>
      <c r="CI78" s="496" t="s">
        <v>397</v>
      </c>
      <c r="CJ78" s="496" t="s">
        <v>398</v>
      </c>
      <c r="CK78" s="496" t="s">
        <v>399</v>
      </c>
      <c r="CL78" s="496" t="s">
        <v>400</v>
      </c>
      <c r="CM78" s="496" t="s">
        <v>397</v>
      </c>
      <c r="CN78" s="496" t="s">
        <v>398</v>
      </c>
      <c r="CO78" s="496" t="s">
        <v>399</v>
      </c>
      <c r="CP78" s="496" t="s">
        <v>400</v>
      </c>
      <c r="CQ78" s="499" t="s">
        <v>397</v>
      </c>
      <c r="CR78" s="499" t="s">
        <v>398</v>
      </c>
      <c r="CS78" s="499" t="s">
        <v>399</v>
      </c>
      <c r="CT78" s="498" t="s">
        <v>400</v>
      </c>
      <c r="CU78" s="495" t="s">
        <v>395</v>
      </c>
      <c r="CV78" s="496" t="s">
        <v>396</v>
      </c>
      <c r="CW78" s="499" t="s">
        <v>397</v>
      </c>
      <c r="CX78" s="499" t="s">
        <v>398</v>
      </c>
      <c r="CY78" s="499" t="s">
        <v>399</v>
      </c>
      <c r="CZ78" s="496" t="s">
        <v>400</v>
      </c>
      <c r="DA78" s="496" t="s">
        <v>397</v>
      </c>
      <c r="DB78" s="496" t="s">
        <v>398</v>
      </c>
      <c r="DC78" s="496" t="s">
        <v>399</v>
      </c>
      <c r="DD78" s="496" t="s">
        <v>400</v>
      </c>
      <c r="DE78" s="499" t="s">
        <v>397</v>
      </c>
      <c r="DF78" s="499" t="s">
        <v>398</v>
      </c>
      <c r="DG78" s="499" t="s">
        <v>399</v>
      </c>
      <c r="DH78" s="498" t="s">
        <v>400</v>
      </c>
      <c r="DI78" s="495" t="s">
        <v>395</v>
      </c>
      <c r="DJ78" s="496" t="s">
        <v>396</v>
      </c>
      <c r="DK78" s="499" t="s">
        <v>397</v>
      </c>
      <c r="DL78" s="499" t="s">
        <v>398</v>
      </c>
      <c r="DM78" s="499" t="s">
        <v>399</v>
      </c>
      <c r="DN78" s="496" t="s">
        <v>400</v>
      </c>
      <c r="DO78" s="499" t="s">
        <v>397</v>
      </c>
      <c r="DP78" s="499" t="s">
        <v>398</v>
      </c>
      <c r="DQ78" s="499" t="s">
        <v>399</v>
      </c>
      <c r="DR78" s="496" t="s">
        <v>400</v>
      </c>
      <c r="DS78" s="496" t="s">
        <v>397</v>
      </c>
      <c r="DT78" s="496" t="s">
        <v>398</v>
      </c>
      <c r="DU78" s="496" t="s">
        <v>399</v>
      </c>
      <c r="DV78" s="498" t="s">
        <v>400</v>
      </c>
      <c r="DW78" s="495" t="s">
        <v>395</v>
      </c>
      <c r="DX78" s="496" t="s">
        <v>396</v>
      </c>
      <c r="DY78" s="496" t="s">
        <v>397</v>
      </c>
      <c r="DZ78" s="496" t="s">
        <v>398</v>
      </c>
      <c r="EA78" s="496" t="s">
        <v>399</v>
      </c>
      <c r="EB78" s="496" t="s">
        <v>400</v>
      </c>
      <c r="EC78" s="496" t="s">
        <v>397</v>
      </c>
      <c r="ED78" s="496" t="s">
        <v>398</v>
      </c>
      <c r="EE78" s="496" t="s">
        <v>399</v>
      </c>
      <c r="EF78" s="496" t="s">
        <v>400</v>
      </c>
      <c r="EG78" s="496" t="s">
        <v>397</v>
      </c>
      <c r="EH78" s="496" t="s">
        <v>398</v>
      </c>
      <c r="EI78" s="496" t="s">
        <v>399</v>
      </c>
      <c r="EJ78" s="498" t="s">
        <v>400</v>
      </c>
      <c r="EK78" s="495" t="s">
        <v>395</v>
      </c>
      <c r="EL78" s="496" t="s">
        <v>396</v>
      </c>
      <c r="EM78" s="496" t="s">
        <v>397</v>
      </c>
      <c r="EN78" s="496" t="s">
        <v>398</v>
      </c>
      <c r="EO78" s="496" t="s">
        <v>399</v>
      </c>
      <c r="EP78" s="496" t="s">
        <v>400</v>
      </c>
      <c r="EQ78" s="496" t="s">
        <v>397</v>
      </c>
      <c r="ER78" s="496" t="s">
        <v>398</v>
      </c>
      <c r="ES78" s="496" t="s">
        <v>399</v>
      </c>
      <c r="ET78" s="496" t="s">
        <v>400</v>
      </c>
      <c r="EU78" s="496" t="s">
        <v>397</v>
      </c>
      <c r="EV78" s="496" t="s">
        <v>398</v>
      </c>
      <c r="EW78" s="496" t="s">
        <v>399</v>
      </c>
      <c r="EX78" s="498" t="s">
        <v>400</v>
      </c>
      <c r="EY78" s="495" t="s">
        <v>395</v>
      </c>
      <c r="EZ78" s="496" t="s">
        <v>396</v>
      </c>
      <c r="FA78" s="496" t="s">
        <v>397</v>
      </c>
      <c r="FB78" s="496" t="s">
        <v>398</v>
      </c>
      <c r="FC78" s="496" t="s">
        <v>399</v>
      </c>
      <c r="FD78" s="496" t="s">
        <v>400</v>
      </c>
      <c r="FE78" s="496" t="s">
        <v>397</v>
      </c>
      <c r="FF78" s="496" t="s">
        <v>398</v>
      </c>
      <c r="FG78" s="496" t="s">
        <v>399</v>
      </c>
      <c r="FH78" s="496" t="s">
        <v>400</v>
      </c>
      <c r="FI78" s="496" t="s">
        <v>397</v>
      </c>
      <c r="FJ78" s="496" t="s">
        <v>398</v>
      </c>
      <c r="FK78" s="496" t="s">
        <v>399</v>
      </c>
      <c r="FL78" s="498" t="s">
        <v>400</v>
      </c>
      <c r="FM78" s="495" t="s">
        <v>395</v>
      </c>
      <c r="FN78" s="496" t="s">
        <v>396</v>
      </c>
      <c r="FO78" s="496" t="s">
        <v>397</v>
      </c>
      <c r="FP78" s="496" t="s">
        <v>398</v>
      </c>
      <c r="FQ78" s="496" t="s">
        <v>399</v>
      </c>
      <c r="FR78" s="496" t="s">
        <v>400</v>
      </c>
      <c r="FS78" s="496" t="s">
        <v>397</v>
      </c>
      <c r="FT78" s="496" t="s">
        <v>398</v>
      </c>
      <c r="FU78" s="496" t="s">
        <v>399</v>
      </c>
      <c r="FV78" s="496" t="s">
        <v>400</v>
      </c>
      <c r="FW78" s="496" t="s">
        <v>397</v>
      </c>
      <c r="FX78" s="496" t="s">
        <v>398</v>
      </c>
      <c r="FY78" s="496" t="s">
        <v>399</v>
      </c>
      <c r="FZ78" s="498" t="s">
        <v>400</v>
      </c>
    </row>
    <row r="79" spans="1:182" ht="19.350000000000001" customHeight="1" x14ac:dyDescent="0.2">
      <c r="A79" s="303" t="s">
        <v>217</v>
      </c>
      <c r="B79" s="507" t="s">
        <v>281</v>
      </c>
      <c r="C79" s="510">
        <f>'Combustion (Proposed)'!L32</f>
        <v>8.823529411764706E-9</v>
      </c>
      <c r="D79" s="510">
        <f>'Combustion (Proposed)'!M32</f>
        <v>3.8647058823529411E-8</v>
      </c>
      <c r="E79" s="510">
        <f>'Combustion (Proposed)'!N32</f>
        <v>3.8647058823529411E-8</v>
      </c>
      <c r="F79" s="263"/>
      <c r="G79" s="307"/>
      <c r="H79" s="307"/>
      <c r="I79" s="307"/>
      <c r="J79" s="263"/>
      <c r="K79" s="263"/>
      <c r="L79" s="263"/>
      <c r="M79" s="263"/>
      <c r="N79" s="508"/>
      <c r="O79" s="303" t="s">
        <v>217</v>
      </c>
      <c r="P79" s="507" t="s">
        <v>281</v>
      </c>
      <c r="Q79" s="179">
        <f>'Combustion (Proposed)'!O97</f>
        <v>3.1023529411764698E-8</v>
      </c>
      <c r="R79" s="179">
        <f>'Combustion (Proposed)'!P97</f>
        <v>1.3588305882352937E-7</v>
      </c>
      <c r="S79" s="179">
        <f>'Combustion (Proposed)'!Q97</f>
        <v>1.3588305882352937E-7</v>
      </c>
      <c r="T79" s="263"/>
      <c r="U79" s="263"/>
      <c r="V79" s="263"/>
      <c r="W79" s="263"/>
      <c r="X79" s="263"/>
      <c r="Y79" s="179"/>
      <c r="Z79" s="179"/>
      <c r="AA79" s="179"/>
      <c r="AB79" s="509"/>
      <c r="AC79" s="303" t="s">
        <v>217</v>
      </c>
      <c r="AD79" s="507" t="s">
        <v>281</v>
      </c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509"/>
      <c r="AQ79" s="303" t="s">
        <v>217</v>
      </c>
      <c r="AR79" s="507" t="s">
        <v>281</v>
      </c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509"/>
      <c r="BE79" s="303" t="s">
        <v>217</v>
      </c>
      <c r="BF79" s="507" t="s">
        <v>281</v>
      </c>
      <c r="BG79" s="179"/>
      <c r="BH79" s="179"/>
      <c r="BI79" s="179"/>
      <c r="BJ79" s="179"/>
      <c r="BK79" s="179">
        <f>'Combustion (Proposed)'!O165</f>
        <v>1.7294117647058823E-7</v>
      </c>
      <c r="BL79" s="179">
        <f>'Combustion (Proposed)'!P165</f>
        <v>7.5748235294117652E-7</v>
      </c>
      <c r="BM79" s="179">
        <f>'Combustion (Proposed)'!Q165</f>
        <v>7.5748235294117652E-7</v>
      </c>
      <c r="BN79" s="179"/>
      <c r="BO79" s="179"/>
      <c r="BP79" s="179"/>
      <c r="BQ79" s="179"/>
      <c r="BR79" s="509"/>
      <c r="BS79" s="303" t="s">
        <v>217</v>
      </c>
      <c r="BT79" s="507" t="s">
        <v>281</v>
      </c>
      <c r="BU79" s="179"/>
      <c r="BV79" s="179"/>
      <c r="BW79" s="179"/>
      <c r="BX79" s="179"/>
      <c r="BY79" s="179"/>
      <c r="BZ79" s="179"/>
      <c r="CA79" s="179"/>
      <c r="CB79" s="179"/>
      <c r="CC79" s="179"/>
      <c r="CD79" s="179"/>
      <c r="CE79" s="179"/>
      <c r="CF79" s="509"/>
      <c r="CG79" s="303" t="s">
        <v>217</v>
      </c>
      <c r="CH79" s="507" t="s">
        <v>281</v>
      </c>
      <c r="CI79" s="179"/>
      <c r="CJ79" s="179"/>
      <c r="CK79" s="179"/>
      <c r="CL79" s="179"/>
      <c r="CM79" s="179"/>
      <c r="CN79" s="179"/>
      <c r="CO79" s="179"/>
      <c r="CP79" s="179"/>
      <c r="CQ79" s="179"/>
      <c r="CR79" s="179"/>
      <c r="CS79" s="179"/>
      <c r="CT79" s="509"/>
      <c r="CU79" s="303" t="s">
        <v>217</v>
      </c>
      <c r="CV79" s="507" t="s">
        <v>281</v>
      </c>
      <c r="CW79" s="179"/>
      <c r="CX79" s="179"/>
      <c r="CY79" s="179"/>
      <c r="CZ79" s="179"/>
      <c r="DA79" s="179"/>
      <c r="DB79" s="179"/>
      <c r="DC79" s="179"/>
      <c r="DD79" s="179"/>
      <c r="DE79" s="179"/>
      <c r="DF79" s="179"/>
      <c r="DG79" s="179"/>
      <c r="DH79" s="509"/>
      <c r="DI79" s="303" t="s">
        <v>217</v>
      </c>
      <c r="DJ79" s="507" t="s">
        <v>281</v>
      </c>
      <c r="DK79" s="179"/>
      <c r="DL79" s="179"/>
      <c r="DM79" s="179"/>
      <c r="DN79" s="179"/>
      <c r="DO79" s="179"/>
      <c r="DP79" s="179"/>
      <c r="DQ79" s="179"/>
      <c r="DR79" s="179"/>
      <c r="DS79" s="179"/>
      <c r="DT79" s="179"/>
      <c r="DU79" s="179"/>
      <c r="DV79" s="509"/>
      <c r="DW79" s="303" t="s">
        <v>217</v>
      </c>
      <c r="DX79" s="507" t="s">
        <v>281</v>
      </c>
      <c r="DY79" s="179"/>
      <c r="DZ79" s="179"/>
      <c r="EA79" s="179"/>
      <c r="EB79" s="179"/>
      <c r="EC79" s="179"/>
      <c r="ED79" s="179"/>
      <c r="EE79" s="179"/>
      <c r="EF79" s="179"/>
      <c r="EG79" s="179"/>
      <c r="EH79" s="179"/>
      <c r="EI79" s="179"/>
      <c r="EJ79" s="509"/>
      <c r="EK79" s="303" t="s">
        <v>217</v>
      </c>
      <c r="EL79" s="507" t="s">
        <v>281</v>
      </c>
      <c r="EM79" s="179"/>
      <c r="EN79" s="179"/>
      <c r="EO79" s="179"/>
      <c r="EP79" s="510"/>
      <c r="EQ79" s="179"/>
      <c r="ER79" s="179"/>
      <c r="ES79" s="179"/>
      <c r="ET79" s="510"/>
      <c r="EU79" s="179"/>
      <c r="EV79" s="179"/>
      <c r="EW79" s="179"/>
      <c r="EX79" s="511"/>
      <c r="EY79" s="303" t="s">
        <v>217</v>
      </c>
      <c r="EZ79" s="507" t="s">
        <v>281</v>
      </c>
      <c r="FA79" s="179"/>
      <c r="FB79" s="179"/>
      <c r="FC79" s="179"/>
      <c r="FD79" s="510"/>
      <c r="FE79" s="179"/>
      <c r="FF79" s="179"/>
      <c r="FG79" s="179"/>
      <c r="FH79" s="510"/>
      <c r="FI79" s="179"/>
      <c r="FJ79" s="179"/>
      <c r="FK79" s="179"/>
      <c r="FL79" s="511"/>
      <c r="FM79" s="303" t="s">
        <v>217</v>
      </c>
      <c r="FN79" s="507" t="s">
        <v>281</v>
      </c>
      <c r="FO79" s="179"/>
      <c r="FP79" s="179"/>
      <c r="FQ79" s="179"/>
      <c r="FR79" s="510"/>
      <c r="FS79" s="179"/>
      <c r="FT79" s="179"/>
      <c r="FU79" s="179"/>
      <c r="FV79" s="510"/>
      <c r="FW79" s="179"/>
      <c r="FX79" s="179"/>
      <c r="FY79" s="179"/>
      <c r="FZ79" s="511"/>
    </row>
    <row r="80" spans="1:182" ht="19.350000000000001" customHeight="1" x14ac:dyDescent="0.2">
      <c r="A80" s="303" t="s">
        <v>131</v>
      </c>
      <c r="B80" s="507" t="s">
        <v>282</v>
      </c>
      <c r="C80" s="510">
        <f>'Combustion (Proposed)'!L33</f>
        <v>4.0355701582086361E-5</v>
      </c>
      <c r="D80" s="510">
        <f>'Combustion (Proposed)'!M33</f>
        <v>1.7675797292953827E-4</v>
      </c>
      <c r="E80" s="510">
        <f>'Combustion (Proposed)'!N33</f>
        <v>1.7675797292953827E-4</v>
      </c>
      <c r="F80" s="263"/>
      <c r="G80" s="263"/>
      <c r="H80" s="263"/>
      <c r="I80" s="263"/>
      <c r="J80" s="263"/>
      <c r="K80" s="263"/>
      <c r="L80" s="263"/>
      <c r="M80" s="263"/>
      <c r="N80" s="508"/>
      <c r="O80" s="303" t="s">
        <v>131</v>
      </c>
      <c r="P80" s="507" t="s">
        <v>282</v>
      </c>
      <c r="Q80" s="179">
        <f>'Combustion (Proposed)'!O98</f>
        <v>1.6554499999999999E-4</v>
      </c>
      <c r="R80" s="179">
        <f>'Combustion (Proposed)'!P98</f>
        <v>7.2508709999999994E-4</v>
      </c>
      <c r="S80" s="179">
        <f>'Combustion (Proposed)'!Q98</f>
        <v>7.2508709999999994E-4</v>
      </c>
      <c r="T80" s="263"/>
      <c r="U80" s="263"/>
      <c r="V80" s="263"/>
      <c r="W80" s="263"/>
      <c r="X80" s="263"/>
      <c r="Y80" s="179"/>
      <c r="Z80" s="179"/>
      <c r="AA80" s="179"/>
      <c r="AB80" s="509"/>
      <c r="AC80" s="303" t="s">
        <v>131</v>
      </c>
      <c r="AD80" s="507" t="s">
        <v>282</v>
      </c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509"/>
      <c r="AQ80" s="303" t="s">
        <v>131</v>
      </c>
      <c r="AR80" s="507" t="s">
        <v>282</v>
      </c>
      <c r="AS80" s="179"/>
      <c r="AT80" s="179"/>
      <c r="AU80" s="179"/>
      <c r="AV80" s="179"/>
      <c r="AW80" s="179"/>
      <c r="AX80" s="179"/>
      <c r="AY80" s="179"/>
      <c r="AZ80" s="179"/>
      <c r="BA80" s="179"/>
      <c r="BB80" s="179"/>
      <c r="BC80" s="179"/>
      <c r="BD80" s="509"/>
      <c r="BE80" s="303" t="s">
        <v>131</v>
      </c>
      <c r="BF80" s="507" t="s">
        <v>282</v>
      </c>
      <c r="BG80" s="179"/>
      <c r="BH80" s="179"/>
      <c r="BI80" s="179"/>
      <c r="BJ80" s="179"/>
      <c r="BK80" s="179">
        <f>'Combustion (Proposed)'!O166</f>
        <v>9.2283333333333334E-4</v>
      </c>
      <c r="BL80" s="179">
        <f>'Combustion (Proposed)'!P166</f>
        <v>4.0420100000000004E-3</v>
      </c>
      <c r="BM80" s="179">
        <f>'Combustion (Proposed)'!Q166</f>
        <v>4.0420100000000004E-3</v>
      </c>
      <c r="BN80" s="179"/>
      <c r="BO80" s="179"/>
      <c r="BP80" s="179"/>
      <c r="BQ80" s="179"/>
      <c r="BR80" s="509"/>
      <c r="BS80" s="303" t="s">
        <v>131</v>
      </c>
      <c r="BT80" s="507" t="s">
        <v>282</v>
      </c>
      <c r="BU80" s="179"/>
      <c r="BV80" s="179"/>
      <c r="BW80" s="179"/>
      <c r="BX80" s="179"/>
      <c r="BY80" s="179"/>
      <c r="BZ80" s="179"/>
      <c r="CA80" s="179"/>
      <c r="CB80" s="179"/>
      <c r="CC80" s="179"/>
      <c r="CD80" s="179"/>
      <c r="CE80" s="179"/>
      <c r="CF80" s="509"/>
      <c r="CG80" s="303" t="s">
        <v>131</v>
      </c>
      <c r="CH80" s="507" t="s">
        <v>282</v>
      </c>
      <c r="CI80" s="179"/>
      <c r="CJ80" s="179"/>
      <c r="CK80" s="179"/>
      <c r="CL80" s="179"/>
      <c r="CM80" s="179"/>
      <c r="CN80" s="179"/>
      <c r="CO80" s="179"/>
      <c r="CP80" s="179"/>
      <c r="CQ80" s="179"/>
      <c r="CR80" s="179"/>
      <c r="CS80" s="179"/>
      <c r="CT80" s="509"/>
      <c r="CU80" s="303" t="s">
        <v>131</v>
      </c>
      <c r="CV80" s="507" t="s">
        <v>282</v>
      </c>
      <c r="CW80" s="179"/>
      <c r="CX80" s="179"/>
      <c r="CY80" s="179"/>
      <c r="CZ80" s="179"/>
      <c r="DA80" s="179"/>
      <c r="DB80" s="179"/>
      <c r="DC80" s="179"/>
      <c r="DD80" s="179"/>
      <c r="DE80" s="179"/>
      <c r="DF80" s="179"/>
      <c r="DG80" s="179"/>
      <c r="DH80" s="509"/>
      <c r="DI80" s="303" t="s">
        <v>131</v>
      </c>
      <c r="DJ80" s="507" t="s">
        <v>282</v>
      </c>
      <c r="DK80" s="179"/>
      <c r="DL80" s="179"/>
      <c r="DM80" s="179"/>
      <c r="DN80" s="179"/>
      <c r="DO80" s="179"/>
      <c r="DP80" s="179"/>
      <c r="DQ80" s="179"/>
      <c r="DR80" s="179"/>
      <c r="DS80" s="179"/>
      <c r="DT80" s="179"/>
      <c r="DU80" s="179"/>
      <c r="DV80" s="509"/>
      <c r="DW80" s="303" t="s">
        <v>131</v>
      </c>
      <c r="DX80" s="507" t="s">
        <v>282</v>
      </c>
      <c r="DY80" s="179"/>
      <c r="DZ80" s="179"/>
      <c r="EA80" s="179"/>
      <c r="EB80" s="179"/>
      <c r="EC80" s="179"/>
      <c r="ED80" s="179"/>
      <c r="EE80" s="179"/>
      <c r="EF80" s="179"/>
      <c r="EG80" s="179"/>
      <c r="EH80" s="179"/>
      <c r="EI80" s="179"/>
      <c r="EJ80" s="509"/>
      <c r="EK80" s="303" t="s">
        <v>131</v>
      </c>
      <c r="EL80" s="507" t="s">
        <v>282</v>
      </c>
      <c r="EM80" s="179"/>
      <c r="EN80" s="179"/>
      <c r="EO80" s="179"/>
      <c r="EP80" s="510"/>
      <c r="EQ80" s="179"/>
      <c r="ER80" s="179"/>
      <c r="ES80" s="179"/>
      <c r="ET80" s="510"/>
      <c r="EU80" s="179"/>
      <c r="EV80" s="179"/>
      <c r="EW80" s="179"/>
      <c r="EX80" s="511"/>
      <c r="EY80" s="303" t="s">
        <v>131</v>
      </c>
      <c r="EZ80" s="507" t="s">
        <v>282</v>
      </c>
      <c r="FA80" s="179"/>
      <c r="FB80" s="179"/>
      <c r="FC80" s="179"/>
      <c r="FD80" s="510"/>
      <c r="FE80" s="179"/>
      <c r="FF80" s="179"/>
      <c r="FG80" s="179"/>
      <c r="FH80" s="510"/>
      <c r="FI80" s="179"/>
      <c r="FJ80" s="179"/>
      <c r="FK80" s="179"/>
      <c r="FL80" s="511"/>
      <c r="FM80" s="303" t="s">
        <v>131</v>
      </c>
      <c r="FN80" s="507" t="s">
        <v>282</v>
      </c>
      <c r="FO80" s="179"/>
      <c r="FP80" s="179"/>
      <c r="FQ80" s="179"/>
      <c r="FR80" s="510"/>
      <c r="FS80" s="179"/>
      <c r="FT80" s="179"/>
      <c r="FU80" s="179"/>
      <c r="FV80" s="510"/>
      <c r="FW80" s="179"/>
      <c r="FX80" s="179"/>
      <c r="FY80" s="179"/>
      <c r="FZ80" s="511"/>
    </row>
    <row r="81" spans="1:182" ht="19.350000000000001" customHeight="1" x14ac:dyDescent="0.2">
      <c r="A81" s="303" t="s">
        <v>132</v>
      </c>
      <c r="B81" s="507" t="s">
        <v>283</v>
      </c>
      <c r="C81" s="510">
        <f>'Combustion (Proposed)'!L34</f>
        <v>3.7498660762115644E-7</v>
      </c>
      <c r="D81" s="510">
        <f>'Combustion (Proposed)'!M34</f>
        <v>1.6424413413806652E-6</v>
      </c>
      <c r="E81" s="510">
        <f>'Combustion (Proposed)'!N34</f>
        <v>1.6424413413806652E-6</v>
      </c>
      <c r="F81" s="263"/>
      <c r="G81" s="263"/>
      <c r="H81" s="263"/>
      <c r="I81" s="263"/>
      <c r="J81" s="263"/>
      <c r="K81" s="263"/>
      <c r="L81" s="263"/>
      <c r="M81" s="263"/>
      <c r="N81" s="508"/>
      <c r="O81" s="303" t="s">
        <v>132</v>
      </c>
      <c r="P81" s="507" t="s">
        <v>283</v>
      </c>
      <c r="Q81" s="179">
        <f>'Combustion (Proposed)'!O99</f>
        <v>1.5382499999999998E-6</v>
      </c>
      <c r="R81" s="179">
        <f>'Combustion (Proposed)'!P99</f>
        <v>6.7375349999999994E-6</v>
      </c>
      <c r="S81" s="179">
        <f>'Combustion (Proposed)'!Q99</f>
        <v>6.7375349999999994E-6</v>
      </c>
      <c r="T81" s="263"/>
      <c r="U81" s="263"/>
      <c r="V81" s="263"/>
      <c r="W81" s="263"/>
      <c r="X81" s="263"/>
      <c r="Y81" s="179"/>
      <c r="Z81" s="179"/>
      <c r="AA81" s="179"/>
      <c r="AB81" s="509"/>
      <c r="AC81" s="303" t="s">
        <v>132</v>
      </c>
      <c r="AD81" s="507" t="s">
        <v>283</v>
      </c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509"/>
      <c r="AQ81" s="303" t="s">
        <v>132</v>
      </c>
      <c r="AR81" s="507" t="s">
        <v>283</v>
      </c>
      <c r="AS81" s="179"/>
      <c r="AT81" s="179"/>
      <c r="AU81" s="179"/>
      <c r="AV81" s="179"/>
      <c r="AW81" s="179"/>
      <c r="AX81" s="179"/>
      <c r="AY81" s="179"/>
      <c r="AZ81" s="179"/>
      <c r="BA81" s="179"/>
      <c r="BB81" s="179"/>
      <c r="BC81" s="179"/>
      <c r="BD81" s="509"/>
      <c r="BE81" s="303" t="s">
        <v>132</v>
      </c>
      <c r="BF81" s="507" t="s">
        <v>283</v>
      </c>
      <c r="BG81" s="179"/>
      <c r="BH81" s="179"/>
      <c r="BI81" s="179"/>
      <c r="BJ81" s="179"/>
      <c r="BK81" s="179">
        <f>'Combustion (Proposed)'!O167</f>
        <v>8.5750000000000001E-6</v>
      </c>
      <c r="BL81" s="179">
        <f>'Combustion (Proposed)'!P167</f>
        <v>3.7558500000000003E-5</v>
      </c>
      <c r="BM81" s="179">
        <f>'Combustion (Proposed)'!Q167</f>
        <v>3.7558500000000003E-5</v>
      </c>
      <c r="BN81" s="179"/>
      <c r="BO81" s="179"/>
      <c r="BP81" s="179"/>
      <c r="BQ81" s="179"/>
      <c r="BR81" s="509"/>
      <c r="BS81" s="303" t="s">
        <v>132</v>
      </c>
      <c r="BT81" s="507" t="s">
        <v>283</v>
      </c>
      <c r="BU81" s="179"/>
      <c r="BV81" s="179"/>
      <c r="BW81" s="179"/>
      <c r="BX81" s="179"/>
      <c r="BY81" s="179"/>
      <c r="BZ81" s="179"/>
      <c r="CA81" s="179"/>
      <c r="CB81" s="179"/>
      <c r="CC81" s="179"/>
      <c r="CD81" s="179"/>
      <c r="CE81" s="179"/>
      <c r="CF81" s="509"/>
      <c r="CG81" s="303" t="s">
        <v>132</v>
      </c>
      <c r="CH81" s="507" t="s">
        <v>283</v>
      </c>
      <c r="CI81" s="179"/>
      <c r="CJ81" s="179"/>
      <c r="CK81" s="179"/>
      <c r="CL81" s="179"/>
      <c r="CM81" s="179"/>
      <c r="CN81" s="179"/>
      <c r="CO81" s="179"/>
      <c r="CP81" s="179"/>
      <c r="CQ81" s="179"/>
      <c r="CR81" s="179"/>
      <c r="CS81" s="179"/>
      <c r="CT81" s="509"/>
      <c r="CU81" s="303" t="s">
        <v>132</v>
      </c>
      <c r="CV81" s="507" t="s">
        <v>283</v>
      </c>
      <c r="CW81" s="179"/>
      <c r="CX81" s="179"/>
      <c r="CY81" s="179"/>
      <c r="CZ81" s="179"/>
      <c r="DA81" s="179"/>
      <c r="DB81" s="179"/>
      <c r="DC81" s="179"/>
      <c r="DD81" s="179"/>
      <c r="DE81" s="179"/>
      <c r="DF81" s="179"/>
      <c r="DG81" s="179"/>
      <c r="DH81" s="509"/>
      <c r="DI81" s="303" t="s">
        <v>132</v>
      </c>
      <c r="DJ81" s="507" t="s">
        <v>283</v>
      </c>
      <c r="DK81" s="179"/>
      <c r="DL81" s="179"/>
      <c r="DM81" s="179"/>
      <c r="DN81" s="179"/>
      <c r="DO81" s="179"/>
      <c r="DP81" s="179"/>
      <c r="DQ81" s="179"/>
      <c r="DR81" s="179"/>
      <c r="DS81" s="179"/>
      <c r="DT81" s="179"/>
      <c r="DU81" s="179"/>
      <c r="DV81" s="509"/>
      <c r="DW81" s="303" t="s">
        <v>132</v>
      </c>
      <c r="DX81" s="507" t="s">
        <v>283</v>
      </c>
      <c r="DY81" s="179"/>
      <c r="DZ81" s="179"/>
      <c r="EA81" s="179"/>
      <c r="EB81" s="179"/>
      <c r="EC81" s="179"/>
      <c r="ED81" s="179"/>
      <c r="EE81" s="179"/>
      <c r="EF81" s="179"/>
      <c r="EG81" s="179"/>
      <c r="EH81" s="179"/>
      <c r="EI81" s="179"/>
      <c r="EJ81" s="509"/>
      <c r="EK81" s="303" t="s">
        <v>132</v>
      </c>
      <c r="EL81" s="507" t="s">
        <v>283</v>
      </c>
      <c r="EM81" s="179"/>
      <c r="EN81" s="179"/>
      <c r="EO81" s="179"/>
      <c r="EP81" s="510"/>
      <c r="EQ81" s="179"/>
      <c r="ER81" s="179"/>
      <c r="ES81" s="179"/>
      <c r="ET81" s="510"/>
      <c r="EU81" s="179"/>
      <c r="EV81" s="179"/>
      <c r="EW81" s="179"/>
      <c r="EX81" s="511"/>
      <c r="EY81" s="303" t="s">
        <v>132</v>
      </c>
      <c r="EZ81" s="507" t="s">
        <v>283</v>
      </c>
      <c r="FA81" s="179"/>
      <c r="FB81" s="179"/>
      <c r="FC81" s="179"/>
      <c r="FD81" s="510"/>
      <c r="FE81" s="179"/>
      <c r="FF81" s="179"/>
      <c r="FG81" s="179"/>
      <c r="FH81" s="510"/>
      <c r="FI81" s="179"/>
      <c r="FJ81" s="179"/>
      <c r="FK81" s="179"/>
      <c r="FL81" s="511"/>
      <c r="FM81" s="303" t="s">
        <v>132</v>
      </c>
      <c r="FN81" s="507" t="s">
        <v>283</v>
      </c>
      <c r="FO81" s="179"/>
      <c r="FP81" s="179"/>
      <c r="FQ81" s="179"/>
      <c r="FR81" s="510"/>
      <c r="FS81" s="179"/>
      <c r="FT81" s="179"/>
      <c r="FU81" s="179"/>
      <c r="FV81" s="510"/>
      <c r="FW81" s="179"/>
      <c r="FX81" s="179"/>
      <c r="FY81" s="179"/>
      <c r="FZ81" s="511"/>
    </row>
    <row r="82" spans="1:182" s="171" customFormat="1" ht="19.350000000000001" customHeight="1" x14ac:dyDescent="0.2">
      <c r="A82" s="303" t="s">
        <v>133</v>
      </c>
      <c r="B82" s="507" t="s">
        <v>284</v>
      </c>
      <c r="C82" s="510">
        <f>'Combustion (Proposed)'!L36</f>
        <v>1.5178029356094429E-7</v>
      </c>
      <c r="D82" s="510">
        <f>'Combustion (Proposed)'!M36</f>
        <v>6.6479768579693597E-7</v>
      </c>
      <c r="E82" s="510">
        <f>'Combustion (Proposed)'!N36</f>
        <v>6.6479768579693597E-7</v>
      </c>
      <c r="F82" s="263"/>
      <c r="G82" s="263"/>
      <c r="H82" s="263"/>
      <c r="I82" s="263"/>
      <c r="J82" s="263"/>
      <c r="K82" s="263"/>
      <c r="L82" s="263"/>
      <c r="M82" s="263"/>
      <c r="N82" s="508"/>
      <c r="O82" s="303" t="s">
        <v>133</v>
      </c>
      <c r="P82" s="507" t="s">
        <v>284</v>
      </c>
      <c r="Q82" s="179">
        <f>'Combustion (Proposed)'!O101</f>
        <v>6.2262499999999993E-7</v>
      </c>
      <c r="R82" s="179">
        <f>'Combustion (Proposed)'!P101</f>
        <v>2.7270974999999995E-6</v>
      </c>
      <c r="S82" s="179">
        <f>'Combustion (Proposed)'!Q101</f>
        <v>2.7270974999999995E-6</v>
      </c>
      <c r="T82" s="263"/>
      <c r="U82" s="263"/>
      <c r="V82" s="263"/>
      <c r="W82" s="263"/>
      <c r="X82" s="263"/>
      <c r="Y82" s="179"/>
      <c r="Z82" s="179"/>
      <c r="AA82" s="179"/>
      <c r="AB82" s="509"/>
      <c r="AC82" s="303" t="s">
        <v>133</v>
      </c>
      <c r="AD82" s="507" t="s">
        <v>284</v>
      </c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509"/>
      <c r="AQ82" s="303" t="s">
        <v>133</v>
      </c>
      <c r="AR82" s="507" t="s">
        <v>284</v>
      </c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509"/>
      <c r="BE82" s="303" t="s">
        <v>133</v>
      </c>
      <c r="BF82" s="507" t="s">
        <v>284</v>
      </c>
      <c r="BG82" s="179"/>
      <c r="BH82" s="179"/>
      <c r="BI82" s="179"/>
      <c r="BJ82" s="179"/>
      <c r="BK82" s="179">
        <f>'Combustion (Proposed)'!O169</f>
        <v>3.4708333333333337E-6</v>
      </c>
      <c r="BL82" s="179">
        <f>'Combustion (Proposed)'!P169</f>
        <v>1.5202250000000002E-5</v>
      </c>
      <c r="BM82" s="179">
        <f>'Combustion (Proposed)'!Q169</f>
        <v>1.5202250000000002E-5</v>
      </c>
      <c r="BN82" s="179"/>
      <c r="BO82" s="179"/>
      <c r="BP82" s="179"/>
      <c r="BQ82" s="179"/>
      <c r="BR82" s="509"/>
      <c r="BS82" s="303" t="s">
        <v>133</v>
      </c>
      <c r="BT82" s="507" t="s">
        <v>284</v>
      </c>
      <c r="BU82" s="179"/>
      <c r="BV82" s="179"/>
      <c r="BW82" s="179"/>
      <c r="BX82" s="179"/>
      <c r="BY82" s="179"/>
      <c r="BZ82" s="179"/>
      <c r="CA82" s="179"/>
      <c r="CB82" s="179"/>
      <c r="CC82" s="179"/>
      <c r="CD82" s="179"/>
      <c r="CE82" s="179"/>
      <c r="CF82" s="509"/>
      <c r="CG82" s="303" t="s">
        <v>133</v>
      </c>
      <c r="CH82" s="507" t="s">
        <v>284</v>
      </c>
      <c r="CI82" s="179"/>
      <c r="CJ82" s="179"/>
      <c r="CK82" s="179"/>
      <c r="CL82" s="179"/>
      <c r="CM82" s="179"/>
      <c r="CN82" s="179"/>
      <c r="CO82" s="179"/>
      <c r="CP82" s="179"/>
      <c r="CQ82" s="179"/>
      <c r="CR82" s="179"/>
      <c r="CS82" s="179"/>
      <c r="CT82" s="509"/>
      <c r="CU82" s="303" t="s">
        <v>133</v>
      </c>
      <c r="CV82" s="507" t="s">
        <v>284</v>
      </c>
      <c r="CW82" s="179"/>
      <c r="CX82" s="179"/>
      <c r="CY82" s="179"/>
      <c r="CZ82" s="179"/>
      <c r="DA82" s="179"/>
      <c r="DB82" s="179"/>
      <c r="DC82" s="179"/>
      <c r="DD82" s="179"/>
      <c r="DE82" s="179"/>
      <c r="DF82" s="179"/>
      <c r="DG82" s="179"/>
      <c r="DH82" s="509"/>
      <c r="DI82" s="303" t="s">
        <v>133</v>
      </c>
      <c r="DJ82" s="507" t="s">
        <v>284</v>
      </c>
      <c r="DK82" s="179"/>
      <c r="DL82" s="179"/>
      <c r="DM82" s="179"/>
      <c r="DN82" s="179"/>
      <c r="DO82" s="179"/>
      <c r="DP82" s="179"/>
      <c r="DQ82" s="179"/>
      <c r="DR82" s="179"/>
      <c r="DS82" s="179"/>
      <c r="DT82" s="179"/>
      <c r="DU82" s="179"/>
      <c r="DV82" s="509"/>
      <c r="DW82" s="303" t="s">
        <v>133</v>
      </c>
      <c r="DX82" s="507" t="s">
        <v>284</v>
      </c>
      <c r="DY82" s="179"/>
      <c r="DZ82" s="179"/>
      <c r="EA82" s="179"/>
      <c r="EB82" s="179"/>
      <c r="EC82" s="179"/>
      <c r="ED82" s="179"/>
      <c r="EE82" s="179"/>
      <c r="EF82" s="179"/>
      <c r="EG82" s="179"/>
      <c r="EH82" s="179"/>
      <c r="EI82" s="179"/>
      <c r="EJ82" s="509"/>
      <c r="EK82" s="303" t="s">
        <v>133</v>
      </c>
      <c r="EL82" s="507" t="s">
        <v>284</v>
      </c>
      <c r="EM82" s="179"/>
      <c r="EN82" s="179"/>
      <c r="EO82" s="179"/>
      <c r="EP82" s="179"/>
      <c r="EQ82" s="179"/>
      <c r="ER82" s="179"/>
      <c r="ES82" s="179"/>
      <c r="ET82" s="179"/>
      <c r="EU82" s="179"/>
      <c r="EV82" s="179"/>
      <c r="EW82" s="179"/>
      <c r="EX82" s="509"/>
      <c r="EY82" s="303" t="s">
        <v>133</v>
      </c>
      <c r="EZ82" s="507" t="s">
        <v>284</v>
      </c>
      <c r="FA82" s="179"/>
      <c r="FB82" s="179"/>
      <c r="FC82" s="179"/>
      <c r="FD82" s="179"/>
      <c r="FE82" s="179"/>
      <c r="FF82" s="179"/>
      <c r="FG82" s="179"/>
      <c r="FH82" s="179"/>
      <c r="FI82" s="179"/>
      <c r="FJ82" s="179"/>
      <c r="FK82" s="179"/>
      <c r="FL82" s="509"/>
      <c r="FM82" s="303" t="s">
        <v>133</v>
      </c>
      <c r="FN82" s="507" t="s">
        <v>284</v>
      </c>
      <c r="FO82" s="179"/>
      <c r="FP82" s="179"/>
      <c r="FQ82" s="179"/>
      <c r="FR82" s="179"/>
      <c r="FS82" s="179"/>
      <c r="FT82" s="179"/>
      <c r="FU82" s="179"/>
      <c r="FV82" s="179"/>
      <c r="FW82" s="179"/>
      <c r="FX82" s="179"/>
      <c r="FY82" s="179"/>
      <c r="FZ82" s="509"/>
    </row>
    <row r="83" spans="1:182" s="171" customFormat="1" ht="19.350000000000001" customHeight="1" x14ac:dyDescent="0.2">
      <c r="A83" s="303" t="s">
        <v>134</v>
      </c>
      <c r="B83" s="507" t="s">
        <v>285</v>
      </c>
      <c r="C83" s="510">
        <f>'Combustion (Proposed)'!L37</f>
        <v>2.2142066354773047E-4</v>
      </c>
      <c r="D83" s="510">
        <f>'Combustion (Proposed)'!M37</f>
        <v>9.698225063390594E-4</v>
      </c>
      <c r="E83" s="510">
        <f>'Combustion (Proposed)'!N37</f>
        <v>9.698225063390594E-4</v>
      </c>
      <c r="F83" s="263"/>
      <c r="G83" s="263"/>
      <c r="H83" s="263"/>
      <c r="I83" s="263"/>
      <c r="J83" s="263"/>
      <c r="K83" s="263"/>
      <c r="L83" s="263"/>
      <c r="M83" s="263"/>
      <c r="N83" s="508"/>
      <c r="O83" s="303" t="s">
        <v>134</v>
      </c>
      <c r="P83" s="507" t="s">
        <v>285</v>
      </c>
      <c r="Q83" s="179">
        <f>'Combustion (Proposed)'!O102</f>
        <v>9.0829999999999991E-4</v>
      </c>
      <c r="R83" s="179">
        <f>'Combustion (Proposed)'!P102</f>
        <v>3.9783539999999999E-3</v>
      </c>
      <c r="S83" s="179">
        <f>'Combustion (Proposed)'!Q102</f>
        <v>3.9783539999999999E-3</v>
      </c>
      <c r="T83" s="263"/>
      <c r="U83" s="263"/>
      <c r="V83" s="263"/>
      <c r="W83" s="263"/>
      <c r="X83" s="263"/>
      <c r="Y83" s="179"/>
      <c r="Z83" s="179"/>
      <c r="AA83" s="179"/>
      <c r="AB83" s="509"/>
      <c r="AC83" s="303" t="s">
        <v>134</v>
      </c>
      <c r="AD83" s="507" t="s">
        <v>285</v>
      </c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509"/>
      <c r="AQ83" s="303" t="s">
        <v>134</v>
      </c>
      <c r="AR83" s="507" t="s">
        <v>285</v>
      </c>
      <c r="AS83" s="179"/>
      <c r="AT83" s="179"/>
      <c r="AU83" s="179"/>
      <c r="AV83" s="179"/>
      <c r="AW83" s="179"/>
      <c r="AX83" s="179"/>
      <c r="AY83" s="179"/>
      <c r="AZ83" s="179"/>
      <c r="BA83" s="179"/>
      <c r="BB83" s="179"/>
      <c r="BC83" s="179"/>
      <c r="BD83" s="509"/>
      <c r="BE83" s="303" t="s">
        <v>134</v>
      </c>
      <c r="BF83" s="507" t="s">
        <v>285</v>
      </c>
      <c r="BG83" s="179"/>
      <c r="BH83" s="179"/>
      <c r="BI83" s="179"/>
      <c r="BJ83" s="179"/>
      <c r="BK83" s="179">
        <f>'Combustion (Proposed)'!O170</f>
        <v>5.0633333333333337E-3</v>
      </c>
      <c r="BL83" s="179">
        <f>'Combustion (Proposed)'!P170</f>
        <v>2.2177400000000003E-2</v>
      </c>
      <c r="BM83" s="179">
        <f>'Combustion (Proposed)'!Q170</f>
        <v>2.2177400000000003E-2</v>
      </c>
      <c r="BN83" s="179"/>
      <c r="BO83" s="179"/>
      <c r="BP83" s="179"/>
      <c r="BQ83" s="179"/>
      <c r="BR83" s="509"/>
      <c r="BS83" s="303" t="s">
        <v>134</v>
      </c>
      <c r="BT83" s="507" t="s">
        <v>285</v>
      </c>
      <c r="BU83" s="179"/>
      <c r="BV83" s="179"/>
      <c r="BW83" s="179"/>
      <c r="BX83" s="179"/>
      <c r="BY83" s="179"/>
      <c r="BZ83" s="179"/>
      <c r="CA83" s="179"/>
      <c r="CB83" s="179"/>
      <c r="CC83" s="179"/>
      <c r="CD83" s="179"/>
      <c r="CE83" s="179"/>
      <c r="CF83" s="509"/>
      <c r="CG83" s="303" t="s">
        <v>134</v>
      </c>
      <c r="CH83" s="507" t="s">
        <v>285</v>
      </c>
      <c r="CI83" s="179"/>
      <c r="CJ83" s="179"/>
      <c r="CK83" s="179"/>
      <c r="CL83" s="179"/>
      <c r="CM83" s="179"/>
      <c r="CN83" s="179"/>
      <c r="CO83" s="179"/>
      <c r="CP83" s="179"/>
      <c r="CQ83" s="179"/>
      <c r="CR83" s="179"/>
      <c r="CS83" s="179"/>
      <c r="CT83" s="509"/>
      <c r="CU83" s="303" t="s">
        <v>134</v>
      </c>
      <c r="CV83" s="507" t="s">
        <v>285</v>
      </c>
      <c r="CW83" s="179"/>
      <c r="CX83" s="179"/>
      <c r="CY83" s="179"/>
      <c r="CZ83" s="179"/>
      <c r="DA83" s="179"/>
      <c r="DB83" s="179"/>
      <c r="DC83" s="179"/>
      <c r="DD83" s="179"/>
      <c r="DE83" s="179"/>
      <c r="DF83" s="179"/>
      <c r="DG83" s="179"/>
      <c r="DH83" s="509"/>
      <c r="DI83" s="303" t="s">
        <v>134</v>
      </c>
      <c r="DJ83" s="507" t="s">
        <v>285</v>
      </c>
      <c r="DK83" s="179"/>
      <c r="DL83" s="179"/>
      <c r="DM83" s="179"/>
      <c r="DN83" s="179"/>
      <c r="DO83" s="179"/>
      <c r="DP83" s="179"/>
      <c r="DQ83" s="179"/>
      <c r="DR83" s="179"/>
      <c r="DS83" s="179"/>
      <c r="DT83" s="179"/>
      <c r="DU83" s="179"/>
      <c r="DV83" s="509"/>
      <c r="DW83" s="303" t="s">
        <v>134</v>
      </c>
      <c r="DX83" s="507" t="s">
        <v>285</v>
      </c>
      <c r="DY83" s="179"/>
      <c r="DZ83" s="179"/>
      <c r="EA83" s="179"/>
      <c r="EB83" s="179"/>
      <c r="EC83" s="179"/>
      <c r="ED83" s="179"/>
      <c r="EE83" s="179"/>
      <c r="EF83" s="179"/>
      <c r="EG83" s="179"/>
      <c r="EH83" s="179"/>
      <c r="EI83" s="179"/>
      <c r="EJ83" s="509"/>
      <c r="EK83" s="303" t="s">
        <v>134</v>
      </c>
      <c r="EL83" s="507" t="s">
        <v>285</v>
      </c>
      <c r="EM83" s="179"/>
      <c r="EN83" s="179"/>
      <c r="EO83" s="179"/>
      <c r="EP83" s="179"/>
      <c r="EQ83" s="179"/>
      <c r="ER83" s="179"/>
      <c r="ES83" s="179"/>
      <c r="ET83" s="179"/>
      <c r="EU83" s="179"/>
      <c r="EV83" s="179"/>
      <c r="EW83" s="179"/>
      <c r="EX83" s="509"/>
      <c r="EY83" s="303" t="s">
        <v>134</v>
      </c>
      <c r="EZ83" s="507" t="s">
        <v>285</v>
      </c>
      <c r="FA83" s="179"/>
      <c r="FB83" s="179"/>
      <c r="FC83" s="179"/>
      <c r="FD83" s="179"/>
      <c r="FE83" s="179"/>
      <c r="FF83" s="179"/>
      <c r="FG83" s="179"/>
      <c r="FH83" s="179"/>
      <c r="FI83" s="179"/>
      <c r="FJ83" s="179"/>
      <c r="FK83" s="179"/>
      <c r="FL83" s="509"/>
      <c r="FM83" s="303" t="s">
        <v>134</v>
      </c>
      <c r="FN83" s="507" t="s">
        <v>285</v>
      </c>
      <c r="FO83" s="179"/>
      <c r="FP83" s="179"/>
      <c r="FQ83" s="179"/>
      <c r="FR83" s="179"/>
      <c r="FS83" s="179"/>
      <c r="FT83" s="179"/>
      <c r="FU83" s="179"/>
      <c r="FV83" s="179"/>
      <c r="FW83" s="179"/>
      <c r="FX83" s="179"/>
      <c r="FY83" s="179"/>
      <c r="FZ83" s="509"/>
    </row>
    <row r="84" spans="1:182" s="171" customFormat="1" ht="19.350000000000001" customHeight="1" x14ac:dyDescent="0.2">
      <c r="A84" s="303" t="s">
        <v>240</v>
      </c>
      <c r="B84" s="507" t="s">
        <v>298</v>
      </c>
      <c r="C84" s="510">
        <f>'Combustion (Proposed)'!L38</f>
        <v>8.4282704189136117E-6</v>
      </c>
      <c r="D84" s="510">
        <f>'Combustion (Proposed)'!M38</f>
        <v>3.6915824434841618E-5</v>
      </c>
      <c r="E84" s="510">
        <f>'Combustion (Proposed)'!N38</f>
        <v>3.6915824434841618E-5</v>
      </c>
      <c r="F84" s="263"/>
      <c r="G84" s="263"/>
      <c r="H84" s="263"/>
      <c r="I84" s="263"/>
      <c r="J84" s="263"/>
      <c r="K84" s="263"/>
      <c r="L84" s="263"/>
      <c r="M84" s="263"/>
      <c r="N84" s="508"/>
      <c r="O84" s="303" t="s">
        <v>240</v>
      </c>
      <c r="P84" s="507" t="s">
        <v>298</v>
      </c>
      <c r="Q84" s="179">
        <f>'Combustion (Proposed)'!O103</f>
        <v>3.4573999999999998E-5</v>
      </c>
      <c r="R84" s="179">
        <f>'Combustion (Proposed)'!P103</f>
        <v>1.5143411999999997E-4</v>
      </c>
      <c r="S84" s="179">
        <f>'Combustion (Proposed)'!Q103</f>
        <v>1.5143411999999997E-4</v>
      </c>
      <c r="T84" s="263"/>
      <c r="U84" s="263"/>
      <c r="V84" s="263"/>
      <c r="W84" s="263"/>
      <c r="X84" s="263"/>
      <c r="Y84" s="179"/>
      <c r="Z84" s="179"/>
      <c r="AA84" s="179"/>
      <c r="AB84" s="509"/>
      <c r="AC84" s="303" t="s">
        <v>240</v>
      </c>
      <c r="AD84" s="507" t="s">
        <v>298</v>
      </c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509"/>
      <c r="AQ84" s="303" t="s">
        <v>240</v>
      </c>
      <c r="AR84" s="507" t="s">
        <v>298</v>
      </c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  <c r="BD84" s="509"/>
      <c r="BE84" s="303" t="s">
        <v>240</v>
      </c>
      <c r="BF84" s="507" t="s">
        <v>298</v>
      </c>
      <c r="BG84" s="179"/>
      <c r="BH84" s="179"/>
      <c r="BI84" s="179"/>
      <c r="BJ84" s="179"/>
      <c r="BK84" s="179">
        <f>'Combustion (Proposed)'!O171</f>
        <v>1.9273333333333335E-4</v>
      </c>
      <c r="BL84" s="179">
        <f>'Combustion (Proposed)'!P171</f>
        <v>8.4417200000000002E-4</v>
      </c>
      <c r="BM84" s="179">
        <f>'Combustion (Proposed)'!Q171</f>
        <v>8.4417200000000002E-4</v>
      </c>
      <c r="BN84" s="179"/>
      <c r="BO84" s="179"/>
      <c r="BP84" s="179"/>
      <c r="BQ84" s="179"/>
      <c r="BR84" s="509"/>
      <c r="BS84" s="303" t="s">
        <v>240</v>
      </c>
      <c r="BT84" s="507" t="s">
        <v>298</v>
      </c>
      <c r="BU84" s="179"/>
      <c r="BV84" s="179"/>
      <c r="BW84" s="179"/>
      <c r="BX84" s="179"/>
      <c r="BY84" s="179"/>
      <c r="BZ84" s="179"/>
      <c r="CA84" s="179"/>
      <c r="CB84" s="179"/>
      <c r="CC84" s="179"/>
      <c r="CD84" s="179"/>
      <c r="CE84" s="179"/>
      <c r="CF84" s="509"/>
      <c r="CG84" s="303" t="s">
        <v>240</v>
      </c>
      <c r="CH84" s="507" t="s">
        <v>298</v>
      </c>
      <c r="CI84" s="179"/>
      <c r="CJ84" s="179"/>
      <c r="CK84" s="179"/>
      <c r="CL84" s="179"/>
      <c r="CM84" s="179"/>
      <c r="CN84" s="179"/>
      <c r="CO84" s="179"/>
      <c r="CP84" s="179"/>
      <c r="CQ84" s="179"/>
      <c r="CR84" s="179"/>
      <c r="CS84" s="179"/>
      <c r="CT84" s="509"/>
      <c r="CU84" s="303" t="s">
        <v>240</v>
      </c>
      <c r="CV84" s="507" t="s">
        <v>298</v>
      </c>
      <c r="CW84" s="179"/>
      <c r="CX84" s="179"/>
      <c r="CY84" s="179"/>
      <c r="CZ84" s="179"/>
      <c r="DA84" s="179"/>
      <c r="DB84" s="179"/>
      <c r="DC84" s="179"/>
      <c r="DD84" s="179"/>
      <c r="DE84" s="179"/>
      <c r="DF84" s="179"/>
      <c r="DG84" s="179"/>
      <c r="DH84" s="509"/>
      <c r="DI84" s="303" t="s">
        <v>240</v>
      </c>
      <c r="DJ84" s="507" t="s">
        <v>298</v>
      </c>
      <c r="DK84" s="179"/>
      <c r="DL84" s="179"/>
      <c r="DM84" s="179"/>
      <c r="DN84" s="179"/>
      <c r="DO84" s="179"/>
      <c r="DP84" s="179"/>
      <c r="DQ84" s="179"/>
      <c r="DR84" s="179"/>
      <c r="DS84" s="179"/>
      <c r="DT84" s="179"/>
      <c r="DU84" s="179"/>
      <c r="DV84" s="509"/>
      <c r="DW84" s="303" t="s">
        <v>240</v>
      </c>
      <c r="DX84" s="507" t="s">
        <v>298</v>
      </c>
      <c r="DY84" s="179"/>
      <c r="DZ84" s="179"/>
      <c r="EA84" s="179"/>
      <c r="EB84" s="179"/>
      <c r="EC84" s="179"/>
      <c r="ED84" s="179"/>
      <c r="EE84" s="179"/>
      <c r="EF84" s="179"/>
      <c r="EG84" s="179"/>
      <c r="EH84" s="179"/>
      <c r="EI84" s="179"/>
      <c r="EJ84" s="509"/>
      <c r="EK84" s="303" t="s">
        <v>240</v>
      </c>
      <c r="EL84" s="507" t="s">
        <v>298</v>
      </c>
      <c r="EM84" s="179"/>
      <c r="EN84" s="179"/>
      <c r="EO84" s="179"/>
      <c r="EP84" s="179"/>
      <c r="EQ84" s="179"/>
      <c r="ER84" s="179"/>
      <c r="ES84" s="179"/>
      <c r="ET84" s="179"/>
      <c r="EU84" s="179"/>
      <c r="EV84" s="179"/>
      <c r="EW84" s="179"/>
      <c r="EX84" s="509"/>
      <c r="EY84" s="303" t="s">
        <v>240</v>
      </c>
      <c r="EZ84" s="507" t="s">
        <v>298</v>
      </c>
      <c r="FA84" s="179"/>
      <c r="FB84" s="179"/>
      <c r="FC84" s="179"/>
      <c r="FD84" s="179"/>
      <c r="FE84" s="179"/>
      <c r="FF84" s="179"/>
      <c r="FG84" s="179"/>
      <c r="FH84" s="179"/>
      <c r="FI84" s="179"/>
      <c r="FJ84" s="179"/>
      <c r="FK84" s="179"/>
      <c r="FL84" s="509"/>
      <c r="FM84" s="303" t="s">
        <v>240</v>
      </c>
      <c r="FN84" s="507" t="s">
        <v>298</v>
      </c>
      <c r="FO84" s="179"/>
      <c r="FP84" s="179"/>
      <c r="FQ84" s="179"/>
      <c r="FR84" s="179"/>
      <c r="FS84" s="179"/>
      <c r="FT84" s="179"/>
      <c r="FU84" s="179"/>
      <c r="FV84" s="179"/>
      <c r="FW84" s="179"/>
      <c r="FX84" s="179"/>
      <c r="FY84" s="179"/>
      <c r="FZ84" s="509"/>
    </row>
    <row r="85" spans="1:182" ht="19.350000000000001" customHeight="1" x14ac:dyDescent="0.2">
      <c r="A85" s="303" t="s">
        <v>135</v>
      </c>
      <c r="B85" s="507" t="s">
        <v>296</v>
      </c>
      <c r="C85" s="510">
        <f>'Combustion (Proposed)'!L39</f>
        <v>3.892718117210101E-6</v>
      </c>
      <c r="D85" s="510">
        <f>'Combustion (Proposed)'!M39</f>
        <v>1.705010535338024E-5</v>
      </c>
      <c r="E85" s="510">
        <f>'Combustion (Proposed)'!N39</f>
        <v>1.705010535338024E-5</v>
      </c>
      <c r="F85" s="263"/>
      <c r="G85" s="263"/>
      <c r="H85" s="263"/>
      <c r="I85" s="263"/>
      <c r="J85" s="263"/>
      <c r="K85" s="263"/>
      <c r="L85" s="263"/>
      <c r="M85" s="263"/>
      <c r="N85" s="508"/>
      <c r="O85" s="303" t="s">
        <v>135</v>
      </c>
      <c r="P85" s="507" t="s">
        <v>296</v>
      </c>
      <c r="Q85" s="179">
        <f>'Combustion (Proposed)'!O104</f>
        <v>1.5968500000000001E-5</v>
      </c>
      <c r="R85" s="179">
        <f>'Combustion (Proposed)'!P104</f>
        <v>6.9942030000000004E-5</v>
      </c>
      <c r="S85" s="179">
        <f>'Combustion (Proposed)'!Q104</f>
        <v>6.9942030000000004E-5</v>
      </c>
      <c r="T85" s="263"/>
      <c r="U85" s="263"/>
      <c r="V85" s="263"/>
      <c r="W85" s="263"/>
      <c r="X85" s="263"/>
      <c r="Y85" s="179"/>
      <c r="Z85" s="179"/>
      <c r="AA85" s="179"/>
      <c r="AB85" s="509"/>
      <c r="AC85" s="303" t="s">
        <v>135</v>
      </c>
      <c r="AD85" s="507" t="s">
        <v>296</v>
      </c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509"/>
      <c r="AQ85" s="303" t="s">
        <v>135</v>
      </c>
      <c r="AR85" s="507" t="s">
        <v>296</v>
      </c>
      <c r="AS85" s="179"/>
      <c r="AT85" s="179"/>
      <c r="AU85" s="179"/>
      <c r="AV85" s="179"/>
      <c r="AW85" s="179"/>
      <c r="AX85" s="179"/>
      <c r="AY85" s="179"/>
      <c r="AZ85" s="179"/>
      <c r="BA85" s="179"/>
      <c r="BB85" s="179"/>
      <c r="BC85" s="179"/>
      <c r="BD85" s="509"/>
      <c r="BE85" s="303" t="s">
        <v>135</v>
      </c>
      <c r="BF85" s="507" t="s">
        <v>296</v>
      </c>
      <c r="BG85" s="179"/>
      <c r="BH85" s="179"/>
      <c r="BI85" s="179"/>
      <c r="BJ85" s="179"/>
      <c r="BK85" s="179">
        <f>'Combustion (Proposed)'!O172</f>
        <v>8.9016666666666685E-5</v>
      </c>
      <c r="BL85" s="179">
        <f>'Combustion (Proposed)'!P172</f>
        <v>3.898930000000001E-4</v>
      </c>
      <c r="BM85" s="179">
        <f>'Combustion (Proposed)'!Q172</f>
        <v>3.898930000000001E-4</v>
      </c>
      <c r="BN85" s="179"/>
      <c r="BO85" s="179"/>
      <c r="BP85" s="179"/>
      <c r="BQ85" s="179"/>
      <c r="BR85" s="509"/>
      <c r="BS85" s="303" t="s">
        <v>135</v>
      </c>
      <c r="BT85" s="507" t="s">
        <v>296</v>
      </c>
      <c r="BU85" s="179"/>
      <c r="BV85" s="179"/>
      <c r="BW85" s="179"/>
      <c r="BX85" s="179"/>
      <c r="BY85" s="179"/>
      <c r="BZ85" s="179"/>
      <c r="CA85" s="179"/>
      <c r="CB85" s="179"/>
      <c r="CC85" s="179"/>
      <c r="CD85" s="179"/>
      <c r="CE85" s="179"/>
      <c r="CF85" s="509"/>
      <c r="CG85" s="303" t="s">
        <v>135</v>
      </c>
      <c r="CH85" s="507" t="s">
        <v>296</v>
      </c>
      <c r="CI85" s="179"/>
      <c r="CJ85" s="179"/>
      <c r="CK85" s="179"/>
      <c r="CL85" s="179"/>
      <c r="CM85" s="179"/>
      <c r="CN85" s="179"/>
      <c r="CO85" s="179"/>
      <c r="CP85" s="179"/>
      <c r="CQ85" s="179"/>
      <c r="CR85" s="179"/>
      <c r="CS85" s="179"/>
      <c r="CT85" s="509"/>
      <c r="CU85" s="303" t="s">
        <v>135</v>
      </c>
      <c r="CV85" s="507" t="s">
        <v>296</v>
      </c>
      <c r="CW85" s="179"/>
      <c r="CX85" s="179"/>
      <c r="CY85" s="179"/>
      <c r="CZ85" s="179"/>
      <c r="DA85" s="179"/>
      <c r="DB85" s="179"/>
      <c r="DC85" s="179"/>
      <c r="DD85" s="179"/>
      <c r="DE85" s="179"/>
      <c r="DF85" s="179"/>
      <c r="DG85" s="179"/>
      <c r="DH85" s="509"/>
      <c r="DI85" s="303" t="s">
        <v>135</v>
      </c>
      <c r="DJ85" s="507" t="s">
        <v>296</v>
      </c>
      <c r="DK85" s="179"/>
      <c r="DL85" s="179"/>
      <c r="DM85" s="179"/>
      <c r="DN85" s="179"/>
      <c r="DO85" s="179"/>
      <c r="DP85" s="179"/>
      <c r="DQ85" s="179"/>
      <c r="DR85" s="179"/>
      <c r="DS85" s="179"/>
      <c r="DT85" s="179"/>
      <c r="DU85" s="179"/>
      <c r="DV85" s="509"/>
      <c r="DW85" s="303" t="s">
        <v>135</v>
      </c>
      <c r="DX85" s="507" t="s">
        <v>296</v>
      </c>
      <c r="DY85" s="179"/>
      <c r="DZ85" s="179"/>
      <c r="EA85" s="179"/>
      <c r="EB85" s="179"/>
      <c r="EC85" s="179"/>
      <c r="ED85" s="179"/>
      <c r="EE85" s="179"/>
      <c r="EF85" s="179"/>
      <c r="EG85" s="179"/>
      <c r="EH85" s="179"/>
      <c r="EI85" s="179"/>
      <c r="EJ85" s="509"/>
      <c r="EK85" s="303" t="s">
        <v>135</v>
      </c>
      <c r="EL85" s="507" t="s">
        <v>296</v>
      </c>
      <c r="EM85" s="179"/>
      <c r="EN85" s="179"/>
      <c r="EO85" s="179"/>
      <c r="EP85" s="510"/>
      <c r="EQ85" s="179"/>
      <c r="ER85" s="179"/>
      <c r="ES85" s="179"/>
      <c r="ET85" s="510"/>
      <c r="EU85" s="179"/>
      <c r="EV85" s="179"/>
      <c r="EW85" s="179"/>
      <c r="EX85" s="511"/>
      <c r="EY85" s="303" t="s">
        <v>135</v>
      </c>
      <c r="EZ85" s="507" t="s">
        <v>296</v>
      </c>
      <c r="FA85" s="179"/>
      <c r="FB85" s="179"/>
      <c r="FC85" s="179"/>
      <c r="FD85" s="510"/>
      <c r="FE85" s="179"/>
      <c r="FF85" s="179"/>
      <c r="FG85" s="179"/>
      <c r="FH85" s="510"/>
      <c r="FI85" s="179"/>
      <c r="FJ85" s="179"/>
      <c r="FK85" s="179"/>
      <c r="FL85" s="511"/>
      <c r="FM85" s="303" t="s">
        <v>135</v>
      </c>
      <c r="FN85" s="507" t="s">
        <v>296</v>
      </c>
      <c r="FO85" s="179"/>
      <c r="FP85" s="179"/>
      <c r="FQ85" s="179"/>
      <c r="FR85" s="510"/>
      <c r="FS85" s="179"/>
      <c r="FT85" s="179"/>
      <c r="FU85" s="179"/>
      <c r="FV85" s="510"/>
      <c r="FW85" s="179"/>
      <c r="FX85" s="179"/>
      <c r="FY85" s="179"/>
      <c r="FZ85" s="511"/>
    </row>
    <row r="86" spans="1:182" ht="19.350000000000001" customHeight="1" x14ac:dyDescent="0.2">
      <c r="A86" s="303" t="s">
        <v>137</v>
      </c>
      <c r="B86" s="507" t="s">
        <v>286</v>
      </c>
      <c r="C86" s="510">
        <f>'Combustion (Proposed)'!L40</f>
        <v>9.8039215686274508E-7</v>
      </c>
      <c r="D86" s="510">
        <f>'Combustion (Proposed)'!M40</f>
        <v>4.2941176470588233E-6</v>
      </c>
      <c r="E86" s="510">
        <f>'Combustion (Proposed)'!N40</f>
        <v>4.2941176470588233E-6</v>
      </c>
      <c r="F86" s="263"/>
      <c r="G86" s="263"/>
      <c r="H86" s="263"/>
      <c r="I86" s="263"/>
      <c r="J86" s="263"/>
      <c r="K86" s="263"/>
      <c r="L86" s="263"/>
      <c r="M86" s="263"/>
      <c r="N86" s="508"/>
      <c r="O86" s="303" t="s">
        <v>137</v>
      </c>
      <c r="P86" s="507" t="s">
        <v>286</v>
      </c>
      <c r="Q86" s="179">
        <f>'Combustion (Proposed)'!O105</f>
        <v>3.4470588235294115E-6</v>
      </c>
      <c r="R86" s="179">
        <f>'Combustion (Proposed)'!P105</f>
        <v>1.5098117647058823E-5</v>
      </c>
      <c r="S86" s="179">
        <f>'Combustion (Proposed)'!Q105</f>
        <v>1.5098117647058823E-5</v>
      </c>
      <c r="T86" s="263"/>
      <c r="U86" s="263"/>
      <c r="V86" s="263"/>
      <c r="W86" s="263"/>
      <c r="X86" s="263"/>
      <c r="Y86" s="179"/>
      <c r="Z86" s="179"/>
      <c r="AA86" s="179"/>
      <c r="AB86" s="509"/>
      <c r="AC86" s="303" t="s">
        <v>137</v>
      </c>
      <c r="AD86" s="507" t="s">
        <v>286</v>
      </c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509"/>
      <c r="AQ86" s="303" t="s">
        <v>137</v>
      </c>
      <c r="AR86" s="507" t="s">
        <v>286</v>
      </c>
      <c r="AS86" s="179"/>
      <c r="AT86" s="179"/>
      <c r="AU86" s="179"/>
      <c r="AV86" s="179"/>
      <c r="AW86" s="179"/>
      <c r="AX86" s="179"/>
      <c r="AY86" s="179"/>
      <c r="AZ86" s="179"/>
      <c r="BA86" s="179"/>
      <c r="BB86" s="179"/>
      <c r="BC86" s="179"/>
      <c r="BD86" s="509"/>
      <c r="BE86" s="303" t="s">
        <v>137</v>
      </c>
      <c r="BF86" s="507" t="s">
        <v>286</v>
      </c>
      <c r="BG86" s="179"/>
      <c r="BH86" s="179"/>
      <c r="BI86" s="179"/>
      <c r="BJ86" s="179"/>
      <c r="BK86" s="179">
        <f>'Combustion (Proposed)'!O173</f>
        <v>1.9215686274509807E-5</v>
      </c>
      <c r="BL86" s="179">
        <f>'Combustion (Proposed)'!P173</f>
        <v>8.4164705882352952E-5</v>
      </c>
      <c r="BM86" s="179">
        <f>'Combustion (Proposed)'!Q173</f>
        <v>8.4164705882352952E-5</v>
      </c>
      <c r="BN86" s="179"/>
      <c r="BO86" s="179"/>
      <c r="BP86" s="179"/>
      <c r="BQ86" s="179"/>
      <c r="BR86" s="509"/>
      <c r="BS86" s="303" t="s">
        <v>137</v>
      </c>
      <c r="BT86" s="507" t="s">
        <v>286</v>
      </c>
      <c r="BU86" s="179"/>
      <c r="BV86" s="179"/>
      <c r="BW86" s="179"/>
      <c r="BX86" s="179"/>
      <c r="BY86" s="179"/>
      <c r="BZ86" s="179"/>
      <c r="CA86" s="179"/>
      <c r="CB86" s="179"/>
      <c r="CC86" s="179"/>
      <c r="CD86" s="179"/>
      <c r="CE86" s="179"/>
      <c r="CF86" s="509"/>
      <c r="CG86" s="303" t="s">
        <v>137</v>
      </c>
      <c r="CH86" s="507" t="s">
        <v>286</v>
      </c>
      <c r="CI86" s="179"/>
      <c r="CJ86" s="179"/>
      <c r="CK86" s="179"/>
      <c r="CL86" s="179"/>
      <c r="CM86" s="179"/>
      <c r="CN86" s="179"/>
      <c r="CO86" s="179"/>
      <c r="CP86" s="179"/>
      <c r="CQ86" s="179"/>
      <c r="CR86" s="179"/>
      <c r="CS86" s="179"/>
      <c r="CT86" s="509"/>
      <c r="CU86" s="303" t="s">
        <v>137</v>
      </c>
      <c r="CV86" s="507" t="s">
        <v>286</v>
      </c>
      <c r="CW86" s="179"/>
      <c r="CX86" s="179"/>
      <c r="CY86" s="179"/>
      <c r="CZ86" s="179"/>
      <c r="DA86" s="179"/>
      <c r="DB86" s="179"/>
      <c r="DC86" s="179"/>
      <c r="DD86" s="179"/>
      <c r="DE86" s="179"/>
      <c r="DF86" s="179"/>
      <c r="DG86" s="179"/>
      <c r="DH86" s="509"/>
      <c r="DI86" s="303" t="s">
        <v>137</v>
      </c>
      <c r="DJ86" s="507" t="s">
        <v>286</v>
      </c>
      <c r="DK86" s="179"/>
      <c r="DL86" s="179"/>
      <c r="DM86" s="179"/>
      <c r="DN86" s="179"/>
      <c r="DO86" s="179"/>
      <c r="DP86" s="179"/>
      <c r="DQ86" s="179"/>
      <c r="DR86" s="179"/>
      <c r="DS86" s="179"/>
      <c r="DT86" s="179"/>
      <c r="DU86" s="179"/>
      <c r="DV86" s="509"/>
      <c r="DW86" s="303" t="s">
        <v>137</v>
      </c>
      <c r="DX86" s="507" t="s">
        <v>286</v>
      </c>
      <c r="DY86" s="179"/>
      <c r="DZ86" s="179"/>
      <c r="EA86" s="179"/>
      <c r="EB86" s="179"/>
      <c r="EC86" s="179"/>
      <c r="ED86" s="179"/>
      <c r="EE86" s="179"/>
      <c r="EF86" s="179"/>
      <c r="EG86" s="179"/>
      <c r="EH86" s="179"/>
      <c r="EI86" s="179"/>
      <c r="EJ86" s="509"/>
      <c r="EK86" s="303" t="s">
        <v>137</v>
      </c>
      <c r="EL86" s="507" t="s">
        <v>286</v>
      </c>
      <c r="EM86" s="179"/>
      <c r="EN86" s="179"/>
      <c r="EO86" s="179"/>
      <c r="EP86" s="510"/>
      <c r="EQ86" s="179"/>
      <c r="ER86" s="179"/>
      <c r="ES86" s="179"/>
      <c r="ET86" s="510"/>
      <c r="EU86" s="179"/>
      <c r="EV86" s="179"/>
      <c r="EW86" s="179"/>
      <c r="EX86" s="511"/>
      <c r="EY86" s="303" t="s">
        <v>137</v>
      </c>
      <c r="EZ86" s="507" t="s">
        <v>286</v>
      </c>
      <c r="FA86" s="179"/>
      <c r="FB86" s="179"/>
      <c r="FC86" s="179"/>
      <c r="FD86" s="510"/>
      <c r="FE86" s="179"/>
      <c r="FF86" s="179"/>
      <c r="FG86" s="179"/>
      <c r="FH86" s="510"/>
      <c r="FI86" s="179"/>
      <c r="FJ86" s="179"/>
      <c r="FK86" s="179"/>
      <c r="FL86" s="511"/>
      <c r="FM86" s="303" t="s">
        <v>137</v>
      </c>
      <c r="FN86" s="507" t="s">
        <v>286</v>
      </c>
      <c r="FO86" s="179"/>
      <c r="FP86" s="179"/>
      <c r="FQ86" s="179"/>
      <c r="FR86" s="510"/>
      <c r="FS86" s="179"/>
      <c r="FT86" s="179"/>
      <c r="FU86" s="179"/>
      <c r="FV86" s="510"/>
      <c r="FW86" s="179"/>
      <c r="FX86" s="179"/>
      <c r="FY86" s="179"/>
      <c r="FZ86" s="511"/>
    </row>
    <row r="87" spans="1:182" ht="19.350000000000001" customHeight="1" x14ac:dyDescent="0.2">
      <c r="A87" s="303" t="s">
        <v>138</v>
      </c>
      <c r="B87" s="507" t="s">
        <v>287</v>
      </c>
      <c r="C87" s="510">
        <f>'Combustion (Proposed)'!L41</f>
        <v>5.8823529411764709E-8</v>
      </c>
      <c r="D87" s="510">
        <f>'Combustion (Proposed)'!M41</f>
        <v>2.5764705882352943E-7</v>
      </c>
      <c r="E87" s="510">
        <f>'Combustion (Proposed)'!N41</f>
        <v>2.5764705882352943E-7</v>
      </c>
      <c r="F87" s="263"/>
      <c r="G87" s="263"/>
      <c r="H87" s="263"/>
      <c r="I87" s="263"/>
      <c r="J87" s="263"/>
      <c r="K87" s="263"/>
      <c r="L87" s="263"/>
      <c r="M87" s="263"/>
      <c r="N87" s="508"/>
      <c r="O87" s="303" t="s">
        <v>138</v>
      </c>
      <c r="P87" s="507" t="s">
        <v>287</v>
      </c>
      <c r="Q87" s="179">
        <f>'Combustion (Proposed)'!O106</f>
        <v>2.068235294117647E-7</v>
      </c>
      <c r="R87" s="179">
        <f>'Combustion (Proposed)'!P106</f>
        <v>9.0588705882352931E-7</v>
      </c>
      <c r="S87" s="179">
        <f>'Combustion (Proposed)'!Q106</f>
        <v>9.0588705882352931E-7</v>
      </c>
      <c r="T87" s="263"/>
      <c r="U87" s="263"/>
      <c r="V87" s="263"/>
      <c r="W87" s="263"/>
      <c r="X87" s="263"/>
      <c r="Y87" s="179"/>
      <c r="Z87" s="179"/>
      <c r="AA87" s="179"/>
      <c r="AB87" s="509"/>
      <c r="AC87" s="303" t="s">
        <v>138</v>
      </c>
      <c r="AD87" s="507" t="s">
        <v>287</v>
      </c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509"/>
      <c r="AQ87" s="303" t="s">
        <v>138</v>
      </c>
      <c r="AR87" s="507" t="s">
        <v>287</v>
      </c>
      <c r="AS87" s="179"/>
      <c r="AT87" s="179"/>
      <c r="AU87" s="179"/>
      <c r="AV87" s="179"/>
      <c r="AW87" s="179"/>
      <c r="AX87" s="179"/>
      <c r="AY87" s="179"/>
      <c r="AZ87" s="179"/>
      <c r="BA87" s="179"/>
      <c r="BB87" s="179"/>
      <c r="BC87" s="179"/>
      <c r="BD87" s="509"/>
      <c r="BE87" s="303" t="s">
        <v>138</v>
      </c>
      <c r="BF87" s="507" t="s">
        <v>287</v>
      </c>
      <c r="BG87" s="179"/>
      <c r="BH87" s="179"/>
      <c r="BI87" s="179"/>
      <c r="BJ87" s="179"/>
      <c r="BK87" s="179">
        <f>'Combustion (Proposed)'!O174</f>
        <v>1.1529411764705883E-6</v>
      </c>
      <c r="BL87" s="179">
        <f>'Combustion (Proposed)'!P174</f>
        <v>5.0498823529411765E-6</v>
      </c>
      <c r="BM87" s="179">
        <f>'Combustion (Proposed)'!Q174</f>
        <v>5.0498823529411765E-6</v>
      </c>
      <c r="BN87" s="179"/>
      <c r="BO87" s="179"/>
      <c r="BP87" s="179"/>
      <c r="BQ87" s="179"/>
      <c r="BR87" s="509"/>
      <c r="BS87" s="303" t="s">
        <v>138</v>
      </c>
      <c r="BT87" s="507" t="s">
        <v>287</v>
      </c>
      <c r="BU87" s="179"/>
      <c r="BV87" s="179"/>
      <c r="BW87" s="179"/>
      <c r="BX87" s="179"/>
      <c r="BY87" s="179"/>
      <c r="BZ87" s="179"/>
      <c r="CA87" s="179"/>
      <c r="CB87" s="179"/>
      <c r="CC87" s="179"/>
      <c r="CD87" s="179"/>
      <c r="CE87" s="179"/>
      <c r="CF87" s="509"/>
      <c r="CG87" s="303" t="s">
        <v>138</v>
      </c>
      <c r="CH87" s="507" t="s">
        <v>287</v>
      </c>
      <c r="CI87" s="179"/>
      <c r="CJ87" s="179"/>
      <c r="CK87" s="179"/>
      <c r="CL87" s="179"/>
      <c r="CM87" s="179"/>
      <c r="CN87" s="179"/>
      <c r="CO87" s="179"/>
      <c r="CP87" s="179"/>
      <c r="CQ87" s="179"/>
      <c r="CR87" s="179"/>
      <c r="CS87" s="179"/>
      <c r="CT87" s="509"/>
      <c r="CU87" s="303" t="s">
        <v>138</v>
      </c>
      <c r="CV87" s="507" t="s">
        <v>287</v>
      </c>
      <c r="CW87" s="179"/>
      <c r="CX87" s="179"/>
      <c r="CY87" s="179"/>
      <c r="CZ87" s="179"/>
      <c r="DA87" s="179"/>
      <c r="DB87" s="179"/>
      <c r="DC87" s="179"/>
      <c r="DD87" s="179"/>
      <c r="DE87" s="179"/>
      <c r="DF87" s="179"/>
      <c r="DG87" s="179"/>
      <c r="DH87" s="509"/>
      <c r="DI87" s="303" t="s">
        <v>138</v>
      </c>
      <c r="DJ87" s="507" t="s">
        <v>287</v>
      </c>
      <c r="DK87" s="179"/>
      <c r="DL87" s="179"/>
      <c r="DM87" s="179"/>
      <c r="DN87" s="179"/>
      <c r="DO87" s="179"/>
      <c r="DP87" s="179"/>
      <c r="DQ87" s="179"/>
      <c r="DR87" s="179"/>
      <c r="DS87" s="179"/>
      <c r="DT87" s="179"/>
      <c r="DU87" s="179"/>
      <c r="DV87" s="509"/>
      <c r="DW87" s="303" t="s">
        <v>138</v>
      </c>
      <c r="DX87" s="507" t="s">
        <v>287</v>
      </c>
      <c r="DY87" s="179"/>
      <c r="DZ87" s="179"/>
      <c r="EA87" s="179"/>
      <c r="EB87" s="179"/>
      <c r="EC87" s="179"/>
      <c r="ED87" s="179"/>
      <c r="EE87" s="179"/>
      <c r="EF87" s="179"/>
      <c r="EG87" s="179"/>
      <c r="EH87" s="179"/>
      <c r="EI87" s="179"/>
      <c r="EJ87" s="509"/>
      <c r="EK87" s="303" t="s">
        <v>138</v>
      </c>
      <c r="EL87" s="507" t="s">
        <v>287</v>
      </c>
      <c r="EM87" s="179"/>
      <c r="EN87" s="179"/>
      <c r="EO87" s="179"/>
      <c r="EP87" s="510"/>
      <c r="EQ87" s="179"/>
      <c r="ER87" s="179"/>
      <c r="ES87" s="179"/>
      <c r="ET87" s="510"/>
      <c r="EU87" s="179"/>
      <c r="EV87" s="179"/>
      <c r="EW87" s="179"/>
      <c r="EX87" s="511"/>
      <c r="EY87" s="303" t="s">
        <v>138</v>
      </c>
      <c r="EZ87" s="507" t="s">
        <v>287</v>
      </c>
      <c r="FA87" s="179"/>
      <c r="FB87" s="179"/>
      <c r="FC87" s="179"/>
      <c r="FD87" s="510"/>
      <c r="FE87" s="179"/>
      <c r="FF87" s="179"/>
      <c r="FG87" s="179"/>
      <c r="FH87" s="510"/>
      <c r="FI87" s="179"/>
      <c r="FJ87" s="179"/>
      <c r="FK87" s="179"/>
      <c r="FL87" s="511"/>
      <c r="FM87" s="303" t="s">
        <v>138</v>
      </c>
      <c r="FN87" s="507" t="s">
        <v>287</v>
      </c>
      <c r="FO87" s="179"/>
      <c r="FP87" s="179"/>
      <c r="FQ87" s="179"/>
      <c r="FR87" s="510"/>
      <c r="FS87" s="179"/>
      <c r="FT87" s="179"/>
      <c r="FU87" s="179"/>
      <c r="FV87" s="510"/>
      <c r="FW87" s="179"/>
      <c r="FX87" s="179"/>
      <c r="FY87" s="179"/>
      <c r="FZ87" s="511"/>
    </row>
    <row r="88" spans="1:182" ht="19.350000000000001" customHeight="1" x14ac:dyDescent="0.2">
      <c r="A88" s="303" t="s">
        <v>139</v>
      </c>
      <c r="B88" s="507" t="s">
        <v>288</v>
      </c>
      <c r="C88" s="510">
        <f>'Combustion (Proposed)'!L42</f>
        <v>5.3921568627450987E-6</v>
      </c>
      <c r="D88" s="510">
        <f>'Combustion (Proposed)'!M42</f>
        <v>2.3617647058823532E-5</v>
      </c>
      <c r="E88" s="510">
        <f>'Combustion (Proposed)'!N42</f>
        <v>2.3617647058823532E-5</v>
      </c>
      <c r="F88" s="263"/>
      <c r="G88" s="263"/>
      <c r="H88" s="263"/>
      <c r="I88" s="263"/>
      <c r="J88" s="263"/>
      <c r="K88" s="263"/>
      <c r="L88" s="263"/>
      <c r="M88" s="263"/>
      <c r="N88" s="508"/>
      <c r="O88" s="303" t="s">
        <v>139</v>
      </c>
      <c r="P88" s="507" t="s">
        <v>288</v>
      </c>
      <c r="Q88" s="179">
        <f>'Combustion (Proposed)'!O107</f>
        <v>1.8958823529411765E-5</v>
      </c>
      <c r="R88" s="179">
        <f>'Combustion (Proposed)'!P107</f>
        <v>8.3039647058823544E-5</v>
      </c>
      <c r="S88" s="179">
        <f>'Combustion (Proposed)'!Q107</f>
        <v>8.3039647058823544E-5</v>
      </c>
      <c r="T88" s="263"/>
      <c r="U88" s="263"/>
      <c r="V88" s="263"/>
      <c r="W88" s="263"/>
      <c r="X88" s="263"/>
      <c r="Y88" s="179"/>
      <c r="Z88" s="179"/>
      <c r="AA88" s="179"/>
      <c r="AB88" s="509"/>
      <c r="AC88" s="303" t="s">
        <v>139</v>
      </c>
      <c r="AD88" s="507" t="s">
        <v>288</v>
      </c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509"/>
      <c r="AQ88" s="303" t="s">
        <v>139</v>
      </c>
      <c r="AR88" s="507" t="s">
        <v>288</v>
      </c>
      <c r="AS88" s="179"/>
      <c r="AT88" s="179"/>
      <c r="AU88" s="179"/>
      <c r="AV88" s="179"/>
      <c r="AW88" s="179"/>
      <c r="AX88" s="179"/>
      <c r="AY88" s="179"/>
      <c r="AZ88" s="179"/>
      <c r="BA88" s="179"/>
      <c r="BB88" s="179"/>
      <c r="BC88" s="179"/>
      <c r="BD88" s="509"/>
      <c r="BE88" s="303" t="s">
        <v>139</v>
      </c>
      <c r="BF88" s="507" t="s">
        <v>288</v>
      </c>
      <c r="BG88" s="179"/>
      <c r="BH88" s="179"/>
      <c r="BI88" s="179"/>
      <c r="BJ88" s="179"/>
      <c r="BK88" s="179">
        <f>'Combustion (Proposed)'!O175</f>
        <v>1.0568627450980393E-4</v>
      </c>
      <c r="BL88" s="179">
        <f>'Combustion (Proposed)'!P175</f>
        <v>4.629058823529412E-4</v>
      </c>
      <c r="BM88" s="179">
        <f>'Combustion (Proposed)'!Q175</f>
        <v>4.629058823529412E-4</v>
      </c>
      <c r="BN88" s="179"/>
      <c r="BO88" s="179"/>
      <c r="BP88" s="179"/>
      <c r="BQ88" s="179"/>
      <c r="BR88" s="509"/>
      <c r="BS88" s="303" t="s">
        <v>139</v>
      </c>
      <c r="BT88" s="507" t="s">
        <v>288</v>
      </c>
      <c r="BU88" s="179"/>
      <c r="BV88" s="179"/>
      <c r="BW88" s="179"/>
      <c r="BX88" s="179"/>
      <c r="BY88" s="179"/>
      <c r="BZ88" s="179"/>
      <c r="CA88" s="179"/>
      <c r="CB88" s="179"/>
      <c r="CC88" s="179"/>
      <c r="CD88" s="179"/>
      <c r="CE88" s="179"/>
      <c r="CF88" s="509"/>
      <c r="CG88" s="303" t="s">
        <v>139</v>
      </c>
      <c r="CH88" s="507" t="s">
        <v>288</v>
      </c>
      <c r="CI88" s="179"/>
      <c r="CJ88" s="179"/>
      <c r="CK88" s="179"/>
      <c r="CL88" s="179"/>
      <c r="CM88" s="179"/>
      <c r="CN88" s="179"/>
      <c r="CO88" s="179"/>
      <c r="CP88" s="179"/>
      <c r="CQ88" s="179"/>
      <c r="CR88" s="179"/>
      <c r="CS88" s="179"/>
      <c r="CT88" s="509"/>
      <c r="CU88" s="303" t="s">
        <v>139</v>
      </c>
      <c r="CV88" s="507" t="s">
        <v>288</v>
      </c>
      <c r="CW88" s="179"/>
      <c r="CX88" s="179"/>
      <c r="CY88" s="179"/>
      <c r="CZ88" s="179"/>
      <c r="DA88" s="179"/>
      <c r="DB88" s="179"/>
      <c r="DC88" s="179"/>
      <c r="DD88" s="179"/>
      <c r="DE88" s="179"/>
      <c r="DF88" s="179"/>
      <c r="DG88" s="179"/>
      <c r="DH88" s="509"/>
      <c r="DI88" s="303" t="s">
        <v>139</v>
      </c>
      <c r="DJ88" s="507" t="s">
        <v>288</v>
      </c>
      <c r="DK88" s="179"/>
      <c r="DL88" s="179"/>
      <c r="DM88" s="179"/>
      <c r="DN88" s="179"/>
      <c r="DO88" s="179"/>
      <c r="DP88" s="179"/>
      <c r="DQ88" s="179"/>
      <c r="DR88" s="179"/>
      <c r="DS88" s="179"/>
      <c r="DT88" s="179"/>
      <c r="DU88" s="179"/>
      <c r="DV88" s="509"/>
      <c r="DW88" s="303" t="s">
        <v>139</v>
      </c>
      <c r="DX88" s="507" t="s">
        <v>288</v>
      </c>
      <c r="DY88" s="179"/>
      <c r="DZ88" s="179"/>
      <c r="EA88" s="179"/>
      <c r="EB88" s="179"/>
      <c r="EC88" s="179"/>
      <c r="ED88" s="179"/>
      <c r="EE88" s="179"/>
      <c r="EF88" s="179"/>
      <c r="EG88" s="179"/>
      <c r="EH88" s="179"/>
      <c r="EI88" s="179"/>
      <c r="EJ88" s="509"/>
      <c r="EK88" s="303" t="s">
        <v>139</v>
      </c>
      <c r="EL88" s="507" t="s">
        <v>288</v>
      </c>
      <c r="EM88" s="179"/>
      <c r="EN88" s="179"/>
      <c r="EO88" s="179"/>
      <c r="EP88" s="510"/>
      <c r="EQ88" s="179"/>
      <c r="ER88" s="179"/>
      <c r="ES88" s="179"/>
      <c r="ET88" s="510"/>
      <c r="EU88" s="179"/>
      <c r="EV88" s="179"/>
      <c r="EW88" s="179"/>
      <c r="EX88" s="511"/>
      <c r="EY88" s="303" t="s">
        <v>139</v>
      </c>
      <c r="EZ88" s="507" t="s">
        <v>288</v>
      </c>
      <c r="FA88" s="179"/>
      <c r="FB88" s="179"/>
      <c r="FC88" s="179"/>
      <c r="FD88" s="510"/>
      <c r="FE88" s="179"/>
      <c r="FF88" s="179"/>
      <c r="FG88" s="179"/>
      <c r="FH88" s="510"/>
      <c r="FI88" s="179"/>
      <c r="FJ88" s="179"/>
      <c r="FK88" s="179"/>
      <c r="FL88" s="511"/>
      <c r="FM88" s="303" t="s">
        <v>139</v>
      </c>
      <c r="FN88" s="507" t="s">
        <v>288</v>
      </c>
      <c r="FO88" s="179"/>
      <c r="FP88" s="179"/>
      <c r="FQ88" s="179"/>
      <c r="FR88" s="510"/>
      <c r="FS88" s="179"/>
      <c r="FT88" s="179"/>
      <c r="FU88" s="179"/>
      <c r="FV88" s="510"/>
      <c r="FW88" s="179"/>
      <c r="FX88" s="179"/>
      <c r="FY88" s="179"/>
      <c r="FZ88" s="511"/>
    </row>
    <row r="89" spans="1:182" ht="19.350000000000001" customHeight="1" x14ac:dyDescent="0.2">
      <c r="A89" s="303" t="s">
        <v>140</v>
      </c>
      <c r="B89" s="507" t="s">
        <v>289</v>
      </c>
      <c r="C89" s="510">
        <f>'Combustion (Proposed)'!L43</f>
        <v>6.8627450980392154E-6</v>
      </c>
      <c r="D89" s="510">
        <f>'Combustion (Proposed)'!M43</f>
        <v>3.0058823529411764E-5</v>
      </c>
      <c r="E89" s="510">
        <f>'Combustion (Proposed)'!N43</f>
        <v>3.0058823529411764E-5</v>
      </c>
      <c r="F89" s="263"/>
      <c r="G89" s="263"/>
      <c r="H89" s="263"/>
      <c r="I89" s="263"/>
      <c r="J89" s="263"/>
      <c r="K89" s="263"/>
      <c r="L89" s="263"/>
      <c r="M89" s="263"/>
      <c r="N89" s="508"/>
      <c r="O89" s="303" t="s">
        <v>140</v>
      </c>
      <c r="P89" s="507" t="s">
        <v>289</v>
      </c>
      <c r="Q89" s="179">
        <f>'Combustion (Proposed)'!O108</f>
        <v>2.4129411764705878E-5</v>
      </c>
      <c r="R89" s="179">
        <f>'Combustion (Proposed)'!P108</f>
        <v>1.0568682352941176E-4</v>
      </c>
      <c r="S89" s="179">
        <f>'Combustion (Proposed)'!Q108</f>
        <v>1.0568682352941176E-4</v>
      </c>
      <c r="T89" s="263"/>
      <c r="U89" s="263"/>
      <c r="V89" s="263"/>
      <c r="W89" s="263"/>
      <c r="X89" s="263"/>
      <c r="Y89" s="179"/>
      <c r="Z89" s="179"/>
      <c r="AA89" s="179"/>
      <c r="AB89" s="509"/>
      <c r="AC89" s="303" t="s">
        <v>140</v>
      </c>
      <c r="AD89" s="507" t="s">
        <v>289</v>
      </c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509"/>
      <c r="AQ89" s="303" t="s">
        <v>140</v>
      </c>
      <c r="AR89" s="507" t="s">
        <v>289</v>
      </c>
      <c r="AS89" s="179"/>
      <c r="AT89" s="179"/>
      <c r="AU89" s="179"/>
      <c r="AV89" s="179"/>
      <c r="AW89" s="179"/>
      <c r="AX89" s="179"/>
      <c r="AY89" s="179"/>
      <c r="AZ89" s="179"/>
      <c r="BA89" s="179"/>
      <c r="BB89" s="179"/>
      <c r="BC89" s="179"/>
      <c r="BD89" s="509"/>
      <c r="BE89" s="303" t="s">
        <v>140</v>
      </c>
      <c r="BF89" s="507" t="s">
        <v>289</v>
      </c>
      <c r="BG89" s="179"/>
      <c r="BH89" s="179"/>
      <c r="BI89" s="179"/>
      <c r="BJ89" s="179"/>
      <c r="BK89" s="179">
        <f>'Combustion (Proposed)'!O176</f>
        <v>1.3450980392156863E-4</v>
      </c>
      <c r="BL89" s="179">
        <f>'Combustion (Proposed)'!P176</f>
        <v>5.8915294117647065E-4</v>
      </c>
      <c r="BM89" s="179">
        <f>'Combustion (Proposed)'!Q176</f>
        <v>5.8915294117647065E-4</v>
      </c>
      <c r="BN89" s="179"/>
      <c r="BO89" s="179"/>
      <c r="BP89" s="179"/>
      <c r="BQ89" s="179"/>
      <c r="BR89" s="509"/>
      <c r="BS89" s="303" t="s">
        <v>140</v>
      </c>
      <c r="BT89" s="507" t="s">
        <v>289</v>
      </c>
      <c r="BU89" s="179"/>
      <c r="BV89" s="179"/>
      <c r="BW89" s="179"/>
      <c r="BX89" s="179"/>
      <c r="BY89" s="179"/>
      <c r="BZ89" s="179"/>
      <c r="CA89" s="179"/>
      <c r="CB89" s="179"/>
      <c r="CC89" s="179"/>
      <c r="CD89" s="179"/>
      <c r="CE89" s="179"/>
      <c r="CF89" s="509"/>
      <c r="CG89" s="303" t="s">
        <v>140</v>
      </c>
      <c r="CH89" s="507" t="s">
        <v>289</v>
      </c>
      <c r="CI89" s="179"/>
      <c r="CJ89" s="179"/>
      <c r="CK89" s="179"/>
      <c r="CL89" s="179"/>
      <c r="CM89" s="179"/>
      <c r="CN89" s="179"/>
      <c r="CO89" s="179"/>
      <c r="CP89" s="179"/>
      <c r="CQ89" s="179"/>
      <c r="CR89" s="179"/>
      <c r="CS89" s="179"/>
      <c r="CT89" s="509"/>
      <c r="CU89" s="303" t="s">
        <v>140</v>
      </c>
      <c r="CV89" s="507" t="s">
        <v>289</v>
      </c>
      <c r="CW89" s="179"/>
      <c r="CX89" s="179"/>
      <c r="CY89" s="179"/>
      <c r="CZ89" s="179"/>
      <c r="DA89" s="179"/>
      <c r="DB89" s="179"/>
      <c r="DC89" s="179"/>
      <c r="DD89" s="179"/>
      <c r="DE89" s="179"/>
      <c r="DF89" s="179"/>
      <c r="DG89" s="179"/>
      <c r="DH89" s="509"/>
      <c r="DI89" s="303" t="s">
        <v>140</v>
      </c>
      <c r="DJ89" s="507" t="s">
        <v>289</v>
      </c>
      <c r="DK89" s="179"/>
      <c r="DL89" s="179"/>
      <c r="DM89" s="179"/>
      <c r="DN89" s="179"/>
      <c r="DO89" s="179"/>
      <c r="DP89" s="179"/>
      <c r="DQ89" s="179"/>
      <c r="DR89" s="179"/>
      <c r="DS89" s="179"/>
      <c r="DT89" s="179"/>
      <c r="DU89" s="179"/>
      <c r="DV89" s="509"/>
      <c r="DW89" s="303" t="s">
        <v>140</v>
      </c>
      <c r="DX89" s="507" t="s">
        <v>289</v>
      </c>
      <c r="DY89" s="179"/>
      <c r="DZ89" s="179"/>
      <c r="EA89" s="179"/>
      <c r="EB89" s="179"/>
      <c r="EC89" s="179"/>
      <c r="ED89" s="179"/>
      <c r="EE89" s="179"/>
      <c r="EF89" s="179"/>
      <c r="EG89" s="179"/>
      <c r="EH89" s="179"/>
      <c r="EI89" s="179"/>
      <c r="EJ89" s="509"/>
      <c r="EK89" s="303" t="s">
        <v>140</v>
      </c>
      <c r="EL89" s="507" t="s">
        <v>289</v>
      </c>
      <c r="EM89" s="179"/>
      <c r="EN89" s="179"/>
      <c r="EO89" s="179"/>
      <c r="EP89" s="510"/>
      <c r="EQ89" s="179"/>
      <c r="ER89" s="179"/>
      <c r="ES89" s="179"/>
      <c r="ET89" s="510"/>
      <c r="EU89" s="179"/>
      <c r="EV89" s="179"/>
      <c r="EW89" s="179"/>
      <c r="EX89" s="511"/>
      <c r="EY89" s="303" t="s">
        <v>140</v>
      </c>
      <c r="EZ89" s="507" t="s">
        <v>289</v>
      </c>
      <c r="FA89" s="179"/>
      <c r="FB89" s="179"/>
      <c r="FC89" s="179"/>
      <c r="FD89" s="510"/>
      <c r="FE89" s="179"/>
      <c r="FF89" s="179"/>
      <c r="FG89" s="179"/>
      <c r="FH89" s="510"/>
      <c r="FI89" s="179"/>
      <c r="FJ89" s="179"/>
      <c r="FK89" s="179"/>
      <c r="FL89" s="511"/>
      <c r="FM89" s="303" t="s">
        <v>140</v>
      </c>
      <c r="FN89" s="507" t="s">
        <v>289</v>
      </c>
      <c r="FO89" s="179"/>
      <c r="FP89" s="179"/>
      <c r="FQ89" s="179"/>
      <c r="FR89" s="510"/>
      <c r="FS89" s="179"/>
      <c r="FT89" s="179"/>
      <c r="FU89" s="179"/>
      <c r="FV89" s="510"/>
      <c r="FW89" s="179"/>
      <c r="FX89" s="179"/>
      <c r="FY89" s="179"/>
      <c r="FZ89" s="511"/>
    </row>
    <row r="90" spans="1:182" ht="19.350000000000001" customHeight="1" x14ac:dyDescent="0.2">
      <c r="A90" s="303" t="s">
        <v>141</v>
      </c>
      <c r="B90" s="507" t="s">
        <v>290</v>
      </c>
      <c r="C90" s="510">
        <f>'Combustion (Proposed)'!L44</f>
        <v>4.1176470588235289E-7</v>
      </c>
      <c r="D90" s="510">
        <f>'Combustion (Proposed)'!M44</f>
        <v>1.8035294117647058E-6</v>
      </c>
      <c r="E90" s="510">
        <f>'Combustion (Proposed)'!N44</f>
        <v>1.8035294117647058E-6</v>
      </c>
      <c r="F90" s="263"/>
      <c r="G90" s="263"/>
      <c r="H90" s="263"/>
      <c r="I90" s="263"/>
      <c r="J90" s="263"/>
      <c r="K90" s="263"/>
      <c r="L90" s="263"/>
      <c r="M90" s="263"/>
      <c r="N90" s="508"/>
      <c r="O90" s="303" t="s">
        <v>141</v>
      </c>
      <c r="P90" s="507" t="s">
        <v>290</v>
      </c>
      <c r="Q90" s="179">
        <f>'Combustion (Proposed)'!O109</f>
        <v>1.4477647058823526E-6</v>
      </c>
      <c r="R90" s="179">
        <f>'Combustion (Proposed)'!P109</f>
        <v>6.3412094117647046E-6</v>
      </c>
      <c r="S90" s="179">
        <f>'Combustion (Proposed)'!Q109</f>
        <v>6.3412094117647046E-6</v>
      </c>
      <c r="T90" s="263"/>
      <c r="U90" s="263"/>
      <c r="V90" s="263"/>
      <c r="W90" s="263"/>
      <c r="X90" s="263"/>
      <c r="Y90" s="179"/>
      <c r="Z90" s="179"/>
      <c r="AA90" s="179"/>
      <c r="AB90" s="509"/>
      <c r="AC90" s="303" t="s">
        <v>141</v>
      </c>
      <c r="AD90" s="507" t="s">
        <v>290</v>
      </c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509"/>
      <c r="AQ90" s="303" t="s">
        <v>141</v>
      </c>
      <c r="AR90" s="507" t="s">
        <v>290</v>
      </c>
      <c r="AS90" s="179"/>
      <c r="AT90" s="179"/>
      <c r="AU90" s="179"/>
      <c r="AV90" s="179"/>
      <c r="AW90" s="179"/>
      <c r="AX90" s="179"/>
      <c r="AY90" s="179"/>
      <c r="AZ90" s="179"/>
      <c r="BA90" s="179"/>
      <c r="BB90" s="179"/>
      <c r="BC90" s="179"/>
      <c r="BD90" s="509"/>
      <c r="BE90" s="303" t="s">
        <v>141</v>
      </c>
      <c r="BF90" s="507" t="s">
        <v>290</v>
      </c>
      <c r="BG90" s="179"/>
      <c r="BH90" s="179"/>
      <c r="BI90" s="179"/>
      <c r="BJ90" s="179"/>
      <c r="BK90" s="179">
        <f>'Combustion (Proposed)'!O177</f>
        <v>8.070588235294117E-6</v>
      </c>
      <c r="BL90" s="179">
        <f>'Combustion (Proposed)'!P177</f>
        <v>3.5349176470588234E-5</v>
      </c>
      <c r="BM90" s="179">
        <f>'Combustion (Proposed)'!Q177</f>
        <v>3.5349176470588234E-5</v>
      </c>
      <c r="BN90" s="179"/>
      <c r="BO90" s="179"/>
      <c r="BP90" s="179"/>
      <c r="BQ90" s="179"/>
      <c r="BR90" s="509"/>
      <c r="BS90" s="303" t="s">
        <v>141</v>
      </c>
      <c r="BT90" s="507" t="s">
        <v>290</v>
      </c>
      <c r="BU90" s="179"/>
      <c r="BV90" s="179"/>
      <c r="BW90" s="179"/>
      <c r="BX90" s="179"/>
      <c r="BY90" s="179"/>
      <c r="BZ90" s="179"/>
      <c r="CA90" s="179"/>
      <c r="CB90" s="179"/>
      <c r="CC90" s="179"/>
      <c r="CD90" s="179"/>
      <c r="CE90" s="179"/>
      <c r="CF90" s="509"/>
      <c r="CG90" s="303" t="s">
        <v>141</v>
      </c>
      <c r="CH90" s="507" t="s">
        <v>290</v>
      </c>
      <c r="CI90" s="179"/>
      <c r="CJ90" s="179"/>
      <c r="CK90" s="179"/>
      <c r="CL90" s="179"/>
      <c r="CM90" s="179"/>
      <c r="CN90" s="179"/>
      <c r="CO90" s="179"/>
      <c r="CP90" s="179"/>
      <c r="CQ90" s="179"/>
      <c r="CR90" s="179"/>
      <c r="CS90" s="179"/>
      <c r="CT90" s="509"/>
      <c r="CU90" s="303" t="s">
        <v>141</v>
      </c>
      <c r="CV90" s="507" t="s">
        <v>290</v>
      </c>
      <c r="CW90" s="179"/>
      <c r="CX90" s="179"/>
      <c r="CY90" s="179"/>
      <c r="CZ90" s="179"/>
      <c r="DA90" s="179"/>
      <c r="DB90" s="179"/>
      <c r="DC90" s="179"/>
      <c r="DD90" s="179"/>
      <c r="DE90" s="179"/>
      <c r="DF90" s="179"/>
      <c r="DG90" s="179"/>
      <c r="DH90" s="509"/>
      <c r="DI90" s="303" t="s">
        <v>141</v>
      </c>
      <c r="DJ90" s="507" t="s">
        <v>290</v>
      </c>
      <c r="DK90" s="179"/>
      <c r="DL90" s="179"/>
      <c r="DM90" s="179"/>
      <c r="DN90" s="179"/>
      <c r="DO90" s="179"/>
      <c r="DP90" s="179"/>
      <c r="DQ90" s="179"/>
      <c r="DR90" s="179"/>
      <c r="DS90" s="179"/>
      <c r="DT90" s="179"/>
      <c r="DU90" s="179"/>
      <c r="DV90" s="509"/>
      <c r="DW90" s="303" t="s">
        <v>141</v>
      </c>
      <c r="DX90" s="507" t="s">
        <v>290</v>
      </c>
      <c r="DY90" s="179"/>
      <c r="DZ90" s="179"/>
      <c r="EA90" s="179"/>
      <c r="EB90" s="179"/>
      <c r="EC90" s="179"/>
      <c r="ED90" s="179"/>
      <c r="EE90" s="179"/>
      <c r="EF90" s="179"/>
      <c r="EG90" s="179"/>
      <c r="EH90" s="179"/>
      <c r="EI90" s="179"/>
      <c r="EJ90" s="509"/>
      <c r="EK90" s="303" t="s">
        <v>141</v>
      </c>
      <c r="EL90" s="507" t="s">
        <v>290</v>
      </c>
      <c r="EM90" s="179"/>
      <c r="EN90" s="179"/>
      <c r="EO90" s="179"/>
      <c r="EP90" s="510"/>
      <c r="EQ90" s="179"/>
      <c r="ER90" s="179"/>
      <c r="ES90" s="179"/>
      <c r="ET90" s="510"/>
      <c r="EU90" s="179"/>
      <c r="EV90" s="179"/>
      <c r="EW90" s="179"/>
      <c r="EX90" s="511"/>
      <c r="EY90" s="303" t="s">
        <v>141</v>
      </c>
      <c r="EZ90" s="507" t="s">
        <v>290</v>
      </c>
      <c r="FA90" s="179"/>
      <c r="FB90" s="179"/>
      <c r="FC90" s="179"/>
      <c r="FD90" s="510"/>
      <c r="FE90" s="179"/>
      <c r="FF90" s="179"/>
      <c r="FG90" s="179"/>
      <c r="FH90" s="510"/>
      <c r="FI90" s="179"/>
      <c r="FJ90" s="179"/>
      <c r="FK90" s="179"/>
      <c r="FL90" s="511"/>
      <c r="FM90" s="303" t="s">
        <v>141</v>
      </c>
      <c r="FN90" s="507" t="s">
        <v>290</v>
      </c>
      <c r="FO90" s="179"/>
      <c r="FP90" s="179"/>
      <c r="FQ90" s="179"/>
      <c r="FR90" s="510"/>
      <c r="FS90" s="179"/>
      <c r="FT90" s="179"/>
      <c r="FU90" s="179"/>
      <c r="FV90" s="510"/>
      <c r="FW90" s="179"/>
      <c r="FX90" s="179"/>
      <c r="FY90" s="179"/>
      <c r="FZ90" s="511"/>
    </row>
    <row r="91" spans="1:182" ht="19.350000000000001" customHeight="1" x14ac:dyDescent="0.2">
      <c r="A91" s="303" t="s">
        <v>534</v>
      </c>
      <c r="B91" s="507" t="s">
        <v>535</v>
      </c>
      <c r="C91" s="510">
        <f>'Combustion (Proposed)'!L50</f>
        <v>2.4509803921568628E-6</v>
      </c>
      <c r="D91" s="510">
        <f>'Combustion (Proposed)'!M50</f>
        <v>1.073529411764706E-5</v>
      </c>
      <c r="E91" s="510">
        <f>'Combustion (Proposed)'!N50</f>
        <v>1.073529411764706E-5</v>
      </c>
      <c r="F91" s="263"/>
      <c r="G91" s="263"/>
      <c r="H91" s="263"/>
      <c r="I91" s="263"/>
      <c r="J91" s="263"/>
      <c r="K91" s="263"/>
      <c r="L91" s="263"/>
      <c r="M91" s="263"/>
      <c r="N91" s="508"/>
      <c r="O91" s="303" t="s">
        <v>534</v>
      </c>
      <c r="P91" s="507" t="s">
        <v>535</v>
      </c>
      <c r="Q91" s="179">
        <f>'Combustion (Proposed)'!O115</f>
        <v>8.6176470588235283E-6</v>
      </c>
      <c r="R91" s="179">
        <f>'Combustion (Proposed)'!P115</f>
        <v>3.7745294117647058E-5</v>
      </c>
      <c r="S91" s="179">
        <f>'Combustion (Proposed)'!Q115</f>
        <v>3.7745294117647058E-5</v>
      </c>
      <c r="T91" s="263"/>
      <c r="U91" s="263"/>
      <c r="V91" s="263"/>
      <c r="W91" s="263"/>
      <c r="X91" s="263"/>
      <c r="Y91" s="179"/>
      <c r="Z91" s="179"/>
      <c r="AA91" s="179"/>
      <c r="AB91" s="509"/>
      <c r="AC91" s="303" t="s">
        <v>534</v>
      </c>
      <c r="AD91" s="507" t="s">
        <v>535</v>
      </c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509"/>
      <c r="AQ91" s="303" t="s">
        <v>534</v>
      </c>
      <c r="AR91" s="507" t="s">
        <v>535</v>
      </c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509"/>
      <c r="BE91" s="303" t="s">
        <v>534</v>
      </c>
      <c r="BF91" s="507" t="s">
        <v>535</v>
      </c>
      <c r="BG91" s="179"/>
      <c r="BH91" s="179"/>
      <c r="BI91" s="179"/>
      <c r="BJ91" s="179"/>
      <c r="BK91" s="179">
        <f>'Combustion (Proposed)'!O183</f>
        <v>4.8039215686274517E-5</v>
      </c>
      <c r="BL91" s="179">
        <f>'Combustion (Proposed)'!P183</f>
        <v>2.1041176470588239E-4</v>
      </c>
      <c r="BM91" s="179">
        <f>'Combustion (Proposed)'!Q183</f>
        <v>2.1041176470588239E-4</v>
      </c>
      <c r="BN91" s="179"/>
      <c r="BO91" s="179"/>
      <c r="BP91" s="179"/>
      <c r="BQ91" s="179"/>
      <c r="BR91" s="509"/>
      <c r="BS91" s="303" t="s">
        <v>534</v>
      </c>
      <c r="BT91" s="507" t="s">
        <v>535</v>
      </c>
      <c r="BU91" s="179"/>
      <c r="BV91" s="179"/>
      <c r="BW91" s="179"/>
      <c r="BX91" s="179"/>
      <c r="BY91" s="179"/>
      <c r="BZ91" s="179"/>
      <c r="CA91" s="179"/>
      <c r="CB91" s="179"/>
      <c r="CC91" s="179"/>
      <c r="CD91" s="179"/>
      <c r="CE91" s="179"/>
      <c r="CF91" s="509"/>
      <c r="CG91" s="303" t="s">
        <v>534</v>
      </c>
      <c r="CH91" s="507" t="s">
        <v>535</v>
      </c>
      <c r="CI91" s="179"/>
      <c r="CJ91" s="179"/>
      <c r="CK91" s="179"/>
      <c r="CL91" s="179"/>
      <c r="CM91" s="179"/>
      <c r="CN91" s="179"/>
      <c r="CO91" s="179"/>
      <c r="CP91" s="179"/>
      <c r="CQ91" s="179"/>
      <c r="CR91" s="179"/>
      <c r="CS91" s="179"/>
      <c r="CT91" s="509"/>
      <c r="CU91" s="303" t="s">
        <v>534</v>
      </c>
      <c r="CV91" s="507" t="s">
        <v>535</v>
      </c>
      <c r="CW91" s="179"/>
      <c r="CX91" s="179"/>
      <c r="CY91" s="179"/>
      <c r="CZ91" s="179"/>
      <c r="DA91" s="179"/>
      <c r="DB91" s="179"/>
      <c r="DC91" s="179"/>
      <c r="DD91" s="179"/>
      <c r="DE91" s="179"/>
      <c r="DF91" s="179"/>
      <c r="DG91" s="179"/>
      <c r="DH91" s="509"/>
      <c r="DI91" s="303" t="s">
        <v>534</v>
      </c>
      <c r="DJ91" s="507" t="s">
        <v>535</v>
      </c>
      <c r="DK91" s="179"/>
      <c r="DL91" s="179"/>
      <c r="DM91" s="179"/>
      <c r="DN91" s="179"/>
      <c r="DO91" s="179"/>
      <c r="DP91" s="179"/>
      <c r="DQ91" s="179"/>
      <c r="DR91" s="179"/>
      <c r="DS91" s="179"/>
      <c r="DT91" s="179"/>
      <c r="DU91" s="179"/>
      <c r="DV91" s="509"/>
      <c r="DW91" s="303" t="s">
        <v>534</v>
      </c>
      <c r="DX91" s="507" t="s">
        <v>535</v>
      </c>
      <c r="DY91" s="179"/>
      <c r="DZ91" s="179"/>
      <c r="EA91" s="179"/>
      <c r="EB91" s="179"/>
      <c r="EC91" s="179"/>
      <c r="ED91" s="179"/>
      <c r="EE91" s="179"/>
      <c r="EF91" s="179"/>
      <c r="EG91" s="179"/>
      <c r="EH91" s="179"/>
      <c r="EI91" s="179"/>
      <c r="EJ91" s="509"/>
      <c r="EK91" s="303" t="s">
        <v>534</v>
      </c>
      <c r="EL91" s="507" t="s">
        <v>535</v>
      </c>
      <c r="EM91" s="179"/>
      <c r="EN91" s="179"/>
      <c r="EO91" s="179"/>
      <c r="EP91" s="179"/>
      <c r="EQ91" s="179"/>
      <c r="ER91" s="179"/>
      <c r="ES91" s="179"/>
      <c r="ET91" s="179"/>
      <c r="EU91" s="179"/>
      <c r="EV91" s="179"/>
      <c r="EW91" s="179"/>
      <c r="EX91" s="509"/>
      <c r="EY91" s="303" t="s">
        <v>534</v>
      </c>
      <c r="EZ91" s="507" t="s">
        <v>535</v>
      </c>
      <c r="FA91" s="179"/>
      <c r="FB91" s="179"/>
      <c r="FC91" s="179"/>
      <c r="FD91" s="179"/>
      <c r="FE91" s="179"/>
      <c r="FF91" s="179"/>
      <c r="FG91" s="179"/>
      <c r="FH91" s="179"/>
      <c r="FI91" s="179"/>
      <c r="FJ91" s="179"/>
      <c r="FK91" s="179"/>
      <c r="FL91" s="509"/>
      <c r="FM91" s="303" t="s">
        <v>534</v>
      </c>
      <c r="FN91" s="507" t="s">
        <v>535</v>
      </c>
      <c r="FO91" s="179"/>
      <c r="FP91" s="179"/>
      <c r="FQ91" s="179"/>
      <c r="FR91" s="179"/>
      <c r="FS91" s="179"/>
      <c r="FT91" s="179"/>
      <c r="FU91" s="179"/>
      <c r="FV91" s="179"/>
      <c r="FW91" s="179"/>
      <c r="FX91" s="179"/>
      <c r="FY91" s="179"/>
      <c r="FZ91" s="509"/>
    </row>
    <row r="92" spans="1:182" ht="19.350000000000001" customHeight="1" x14ac:dyDescent="0.2">
      <c r="A92" s="303" t="s">
        <v>142</v>
      </c>
      <c r="B92" s="507" t="s">
        <v>292</v>
      </c>
      <c r="C92" s="510">
        <f>'Combustion (Proposed)'!L45</f>
        <v>1.8627450980392158E-6</v>
      </c>
      <c r="D92" s="510">
        <f>'Combustion (Proposed)'!M45</f>
        <v>8.1588235294117654E-6</v>
      </c>
      <c r="E92" s="510">
        <f>'Combustion (Proposed)'!N45</f>
        <v>8.1588235294117654E-6</v>
      </c>
      <c r="F92" s="263"/>
      <c r="G92" s="263"/>
      <c r="H92" s="263"/>
      <c r="I92" s="263"/>
      <c r="J92" s="263"/>
      <c r="K92" s="263"/>
      <c r="L92" s="263"/>
      <c r="M92" s="263"/>
      <c r="N92" s="508"/>
      <c r="O92" s="303" t="s">
        <v>142</v>
      </c>
      <c r="P92" s="507" t="s">
        <v>292</v>
      </c>
      <c r="Q92" s="179">
        <f>'Combustion (Proposed)'!O110</f>
        <v>6.5494117647058819E-6</v>
      </c>
      <c r="R92" s="179">
        <f>'Combustion (Proposed)'!P111</f>
        <v>1.9627552941176469E-5</v>
      </c>
      <c r="S92" s="179">
        <f>'Combustion (Proposed)'!Q111</f>
        <v>1.9627552941176469E-5</v>
      </c>
      <c r="T92" s="263"/>
      <c r="U92" s="263"/>
      <c r="V92" s="263"/>
      <c r="W92" s="263"/>
      <c r="X92" s="263"/>
      <c r="Y92" s="179"/>
      <c r="Z92" s="179"/>
      <c r="AA92" s="179"/>
      <c r="AB92" s="509"/>
      <c r="AC92" s="303" t="s">
        <v>142</v>
      </c>
      <c r="AD92" s="507" t="s">
        <v>292</v>
      </c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509"/>
      <c r="AQ92" s="303" t="s">
        <v>142</v>
      </c>
      <c r="AR92" s="507" t="s">
        <v>292</v>
      </c>
      <c r="AS92" s="179"/>
      <c r="AT92" s="179"/>
      <c r="AU92" s="179"/>
      <c r="AV92" s="179"/>
      <c r="AW92" s="179"/>
      <c r="AX92" s="179"/>
      <c r="AY92" s="179"/>
      <c r="AZ92" s="179"/>
      <c r="BA92" s="179"/>
      <c r="BB92" s="179"/>
      <c r="BC92" s="179"/>
      <c r="BD92" s="509"/>
      <c r="BE92" s="303" t="s">
        <v>142</v>
      </c>
      <c r="BF92" s="507" t="s">
        <v>292</v>
      </c>
      <c r="BG92" s="179"/>
      <c r="BH92" s="179"/>
      <c r="BI92" s="179"/>
      <c r="BJ92" s="179"/>
      <c r="BK92" s="179">
        <f>'Combustion (Proposed)'!O178</f>
        <v>3.650980392156863E-5</v>
      </c>
      <c r="BL92" s="179">
        <f>'Combustion (Proposed)'!P178</f>
        <v>1.5991294117647059E-4</v>
      </c>
      <c r="BM92" s="179">
        <f>'Combustion (Proposed)'!Q178</f>
        <v>1.5991294117647059E-4</v>
      </c>
      <c r="BN92" s="179"/>
      <c r="BO92" s="179"/>
      <c r="BP92" s="179"/>
      <c r="BQ92" s="179"/>
      <c r="BR92" s="509"/>
      <c r="BS92" s="303" t="s">
        <v>142</v>
      </c>
      <c r="BT92" s="507" t="s">
        <v>292</v>
      </c>
      <c r="BU92" s="179"/>
      <c r="BV92" s="179"/>
      <c r="BW92" s="179"/>
      <c r="BX92" s="179"/>
      <c r="BY92" s="179"/>
      <c r="BZ92" s="179"/>
      <c r="CA92" s="179"/>
      <c r="CB92" s="179"/>
      <c r="CC92" s="179"/>
      <c r="CD92" s="179"/>
      <c r="CE92" s="179"/>
      <c r="CF92" s="509"/>
      <c r="CG92" s="303" t="s">
        <v>142</v>
      </c>
      <c r="CH92" s="507" t="s">
        <v>292</v>
      </c>
      <c r="CI92" s="179"/>
      <c r="CJ92" s="179"/>
      <c r="CK92" s="179"/>
      <c r="CL92" s="179"/>
      <c r="CM92" s="179"/>
      <c r="CN92" s="179"/>
      <c r="CO92" s="179"/>
      <c r="CP92" s="179"/>
      <c r="CQ92" s="179"/>
      <c r="CR92" s="179"/>
      <c r="CS92" s="179"/>
      <c r="CT92" s="509"/>
      <c r="CU92" s="303" t="s">
        <v>142</v>
      </c>
      <c r="CV92" s="507" t="s">
        <v>292</v>
      </c>
      <c r="CW92" s="179"/>
      <c r="CX92" s="179"/>
      <c r="CY92" s="179"/>
      <c r="CZ92" s="179"/>
      <c r="DA92" s="179"/>
      <c r="DB92" s="179"/>
      <c r="DC92" s="179"/>
      <c r="DD92" s="179"/>
      <c r="DE92" s="179"/>
      <c r="DF92" s="179"/>
      <c r="DG92" s="179"/>
      <c r="DH92" s="509"/>
      <c r="DI92" s="303" t="s">
        <v>142</v>
      </c>
      <c r="DJ92" s="507" t="s">
        <v>292</v>
      </c>
      <c r="DK92" s="179"/>
      <c r="DL92" s="179"/>
      <c r="DM92" s="179"/>
      <c r="DN92" s="179"/>
      <c r="DO92" s="179"/>
      <c r="DP92" s="179"/>
      <c r="DQ92" s="179"/>
      <c r="DR92" s="179"/>
      <c r="DS92" s="179"/>
      <c r="DT92" s="179"/>
      <c r="DU92" s="179"/>
      <c r="DV92" s="509"/>
      <c r="DW92" s="303" t="s">
        <v>142</v>
      </c>
      <c r="DX92" s="507" t="s">
        <v>292</v>
      </c>
      <c r="DY92" s="179"/>
      <c r="DZ92" s="179"/>
      <c r="EA92" s="179"/>
      <c r="EB92" s="179"/>
      <c r="EC92" s="179"/>
      <c r="ED92" s="179"/>
      <c r="EE92" s="179"/>
      <c r="EF92" s="179"/>
      <c r="EG92" s="179"/>
      <c r="EH92" s="179"/>
      <c r="EI92" s="179"/>
      <c r="EJ92" s="509"/>
      <c r="EK92" s="303" t="s">
        <v>142</v>
      </c>
      <c r="EL92" s="507" t="s">
        <v>292</v>
      </c>
      <c r="EM92" s="179"/>
      <c r="EN92" s="179"/>
      <c r="EO92" s="179"/>
      <c r="EP92" s="510"/>
      <c r="EQ92" s="179"/>
      <c r="ER92" s="179"/>
      <c r="ES92" s="179"/>
      <c r="ET92" s="510"/>
      <c r="EU92" s="179"/>
      <c r="EV92" s="179"/>
      <c r="EW92" s="179"/>
      <c r="EX92" s="511"/>
      <c r="EY92" s="303" t="s">
        <v>142</v>
      </c>
      <c r="EZ92" s="507" t="s">
        <v>292</v>
      </c>
      <c r="FA92" s="179"/>
      <c r="FB92" s="179"/>
      <c r="FC92" s="179"/>
      <c r="FD92" s="510"/>
      <c r="FE92" s="179"/>
      <c r="FF92" s="179"/>
      <c r="FG92" s="179"/>
      <c r="FH92" s="510"/>
      <c r="FI92" s="179"/>
      <c r="FJ92" s="179"/>
      <c r="FK92" s="179"/>
      <c r="FL92" s="511"/>
      <c r="FM92" s="303" t="s">
        <v>142</v>
      </c>
      <c r="FN92" s="507" t="s">
        <v>292</v>
      </c>
      <c r="FO92" s="179"/>
      <c r="FP92" s="179"/>
      <c r="FQ92" s="179"/>
      <c r="FR92" s="510"/>
      <c r="FS92" s="179"/>
      <c r="FT92" s="179"/>
      <c r="FU92" s="179"/>
      <c r="FV92" s="510"/>
      <c r="FW92" s="179"/>
      <c r="FX92" s="179"/>
      <c r="FY92" s="179"/>
      <c r="FZ92" s="511"/>
    </row>
    <row r="93" spans="1:182" s="171" customFormat="1" ht="19.350000000000001" customHeight="1" x14ac:dyDescent="0.2">
      <c r="A93" s="512"/>
      <c r="B93" s="513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512"/>
      <c r="P93" s="513"/>
      <c r="Q93" s="195"/>
      <c r="R93" s="195"/>
      <c r="S93" s="195"/>
      <c r="T93" s="195"/>
      <c r="U93" s="195"/>
      <c r="V93" s="195"/>
      <c r="W93" s="195"/>
      <c r="X93" s="195"/>
      <c r="Y93" s="514"/>
      <c r="Z93" s="514"/>
      <c r="AA93" s="514"/>
      <c r="AB93" s="514"/>
      <c r="AC93" s="512"/>
      <c r="AD93" s="513"/>
      <c r="AE93" s="514"/>
      <c r="AF93" s="514"/>
      <c r="AG93" s="514"/>
      <c r="AH93" s="514"/>
      <c r="AI93" s="514"/>
      <c r="AJ93" s="514"/>
      <c r="AK93" s="514"/>
      <c r="AL93" s="514"/>
      <c r="AM93" s="514"/>
      <c r="AN93" s="514"/>
      <c r="AO93" s="514"/>
      <c r="AP93" s="514"/>
      <c r="AQ93" s="512"/>
      <c r="AR93" s="513"/>
      <c r="AS93" s="514"/>
      <c r="AT93" s="514"/>
      <c r="AU93" s="514"/>
      <c r="AV93" s="514"/>
      <c r="AW93" s="514"/>
      <c r="AX93" s="514"/>
      <c r="AY93" s="514"/>
      <c r="AZ93" s="514"/>
      <c r="BA93" s="514"/>
      <c r="BB93" s="514"/>
      <c r="BC93" s="514"/>
      <c r="BD93" s="514"/>
      <c r="BE93" s="512"/>
      <c r="BF93" s="513"/>
      <c r="BG93" s="514"/>
      <c r="BH93" s="514"/>
      <c r="BI93" s="514"/>
      <c r="BJ93" s="514"/>
      <c r="BK93" s="514"/>
      <c r="BL93" s="514"/>
      <c r="BM93" s="514"/>
      <c r="BN93" s="514"/>
      <c r="BO93" s="514"/>
      <c r="BP93" s="514"/>
      <c r="BQ93" s="514"/>
      <c r="BR93" s="514"/>
      <c r="BS93" s="512"/>
      <c r="BT93" s="513"/>
      <c r="BU93" s="514"/>
      <c r="BV93" s="514"/>
      <c r="BW93" s="514"/>
      <c r="BX93" s="514"/>
      <c r="BY93" s="514"/>
      <c r="BZ93" s="514"/>
      <c r="CA93" s="514"/>
      <c r="CB93" s="514"/>
      <c r="CC93" s="514"/>
      <c r="CD93" s="514"/>
      <c r="CE93" s="514"/>
      <c r="CF93" s="514"/>
      <c r="CG93" s="512"/>
      <c r="CH93" s="513"/>
      <c r="CI93" s="514"/>
      <c r="CJ93" s="514"/>
      <c r="CK93" s="514"/>
      <c r="CL93" s="514"/>
      <c r="CM93" s="514"/>
      <c r="CN93" s="514"/>
      <c r="CO93" s="514"/>
      <c r="CP93" s="514"/>
      <c r="CQ93" s="514"/>
      <c r="CR93" s="514"/>
      <c r="CS93" s="514"/>
      <c r="CT93" s="514"/>
      <c r="CU93" s="512"/>
      <c r="CV93" s="513"/>
      <c r="CW93" s="514"/>
      <c r="CX93" s="514"/>
      <c r="CY93" s="514"/>
      <c r="CZ93" s="514"/>
      <c r="DA93" s="514"/>
      <c r="DB93" s="514"/>
      <c r="DC93" s="514"/>
      <c r="DD93" s="514"/>
      <c r="DE93" s="514"/>
      <c r="DF93" s="514"/>
      <c r="DG93" s="514"/>
      <c r="DH93" s="514"/>
      <c r="DI93" s="512"/>
      <c r="DJ93" s="513"/>
      <c r="DK93" s="514"/>
      <c r="DL93" s="514"/>
      <c r="DM93" s="514"/>
      <c r="DN93" s="514"/>
      <c r="DO93" s="514"/>
      <c r="DP93" s="514"/>
      <c r="DQ93" s="514"/>
      <c r="DR93" s="514"/>
      <c r="DS93" s="514"/>
      <c r="DT93" s="514"/>
      <c r="DU93" s="514"/>
      <c r="DV93" s="514"/>
      <c r="DW93" s="512"/>
      <c r="DX93" s="513"/>
      <c r="DY93" s="514"/>
      <c r="DZ93" s="514"/>
      <c r="EA93" s="514"/>
      <c r="EB93" s="514"/>
      <c r="EC93" s="514"/>
      <c r="ED93" s="514"/>
      <c r="EE93" s="514"/>
      <c r="EF93" s="514"/>
      <c r="EG93" s="514"/>
      <c r="EH93" s="514"/>
      <c r="EI93" s="514"/>
      <c r="EJ93" s="514"/>
      <c r="EK93" s="512"/>
      <c r="EL93" s="513"/>
      <c r="EM93" s="514"/>
      <c r="EN93" s="514"/>
      <c r="EO93" s="514"/>
      <c r="EP93" s="514"/>
      <c r="EQ93" s="514"/>
      <c r="ER93" s="514"/>
      <c r="ES93" s="514"/>
      <c r="ET93" s="514"/>
      <c r="EU93" s="514"/>
      <c r="EV93" s="514"/>
      <c r="EW93" s="514"/>
      <c r="EX93" s="514"/>
      <c r="EY93" s="512"/>
      <c r="EZ93" s="513"/>
      <c r="FA93" s="514"/>
      <c r="FB93" s="514"/>
      <c r="FC93" s="514"/>
      <c r="FD93" s="514"/>
      <c r="FE93" s="514"/>
      <c r="FF93" s="514"/>
      <c r="FG93" s="514"/>
      <c r="FH93" s="514"/>
      <c r="FI93" s="514"/>
      <c r="FJ93" s="514"/>
      <c r="FK93" s="514"/>
      <c r="FL93" s="514"/>
      <c r="FM93" s="512"/>
      <c r="FN93" s="513"/>
      <c r="FO93" s="514"/>
      <c r="FP93" s="514"/>
      <c r="FQ93" s="514"/>
      <c r="FR93" s="514"/>
      <c r="FS93" s="514"/>
      <c r="FT93" s="514"/>
      <c r="FU93" s="514"/>
      <c r="FV93" s="514"/>
      <c r="FW93" s="514"/>
      <c r="FX93" s="514"/>
      <c r="FY93" s="514"/>
      <c r="FZ93" s="514"/>
    </row>
    <row r="94" spans="1:182" s="171" customFormat="1" ht="19.350000000000001" customHeight="1" x14ac:dyDescent="0.2">
      <c r="A94" s="512"/>
      <c r="B94" s="513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512"/>
      <c r="P94" s="513"/>
      <c r="Q94" s="195"/>
      <c r="R94" s="195"/>
      <c r="S94" s="195"/>
      <c r="T94" s="195"/>
      <c r="U94" s="195"/>
      <c r="V94" s="195"/>
      <c r="W94" s="195"/>
      <c r="X94" s="195"/>
      <c r="Y94" s="514"/>
      <c r="Z94" s="514"/>
      <c r="AA94" s="514"/>
      <c r="AB94" s="514"/>
      <c r="AC94" s="512"/>
      <c r="AD94" s="513"/>
      <c r="AE94" s="514"/>
      <c r="AF94" s="514"/>
      <c r="AG94" s="514"/>
      <c r="AH94" s="514"/>
      <c r="AI94" s="514"/>
      <c r="AJ94" s="514"/>
      <c r="AK94" s="514"/>
      <c r="AL94" s="514"/>
      <c r="AM94" s="514"/>
      <c r="AN94" s="514"/>
      <c r="AO94" s="514"/>
      <c r="AP94" s="514"/>
      <c r="AQ94" s="512"/>
      <c r="AR94" s="513"/>
      <c r="AS94" s="514"/>
      <c r="AT94" s="514"/>
      <c r="AU94" s="514"/>
      <c r="AV94" s="514"/>
      <c r="AW94" s="514"/>
      <c r="AX94" s="514"/>
      <c r="AY94" s="514"/>
      <c r="AZ94" s="514"/>
      <c r="BA94" s="514"/>
      <c r="BB94" s="514"/>
      <c r="BC94" s="514"/>
      <c r="BD94" s="514"/>
      <c r="BE94" s="512"/>
      <c r="BF94" s="513"/>
      <c r="BG94" s="514"/>
      <c r="BH94" s="514"/>
      <c r="BI94" s="514"/>
      <c r="BJ94" s="514"/>
      <c r="BK94" s="514"/>
      <c r="BL94" s="514"/>
      <c r="BM94" s="514"/>
      <c r="BN94" s="514"/>
      <c r="BO94" s="514"/>
      <c r="BP94" s="514"/>
      <c r="BQ94" s="514"/>
      <c r="BR94" s="514"/>
      <c r="BS94" s="512"/>
      <c r="BT94" s="513"/>
      <c r="BU94" s="514"/>
      <c r="BV94" s="514"/>
      <c r="BW94" s="514"/>
      <c r="BX94" s="514"/>
      <c r="BY94" s="514"/>
      <c r="BZ94" s="514"/>
      <c r="CA94" s="514"/>
      <c r="CB94" s="514"/>
      <c r="CC94" s="514"/>
      <c r="CD94" s="514"/>
      <c r="CE94" s="514"/>
      <c r="CF94" s="514"/>
      <c r="CG94" s="512"/>
      <c r="CH94" s="513"/>
      <c r="CI94" s="514"/>
      <c r="CJ94" s="514"/>
      <c r="CK94" s="514"/>
      <c r="CL94" s="514"/>
      <c r="CM94" s="514"/>
      <c r="CN94" s="514"/>
      <c r="CO94" s="514"/>
      <c r="CP94" s="514"/>
      <c r="CQ94" s="514"/>
      <c r="CR94" s="514"/>
      <c r="CS94" s="514"/>
      <c r="CT94" s="514"/>
      <c r="CU94" s="512"/>
      <c r="CV94" s="513"/>
      <c r="CW94" s="514"/>
      <c r="CX94" s="514"/>
      <c r="CY94" s="514"/>
      <c r="CZ94" s="514"/>
      <c r="DA94" s="514"/>
      <c r="DB94" s="514"/>
      <c r="DC94" s="514"/>
      <c r="DD94" s="514"/>
      <c r="DE94" s="514"/>
      <c r="DF94" s="514"/>
      <c r="DG94" s="514"/>
      <c r="DH94" s="514"/>
      <c r="DI94" s="512"/>
      <c r="DJ94" s="513"/>
      <c r="DK94" s="514"/>
      <c r="DL94" s="514"/>
      <c r="DM94" s="514"/>
      <c r="DN94" s="514"/>
      <c r="DO94" s="514"/>
      <c r="DP94" s="514"/>
      <c r="DQ94" s="514"/>
      <c r="DR94" s="514"/>
      <c r="DS94" s="514"/>
      <c r="DT94" s="514"/>
      <c r="DU94" s="514"/>
      <c r="DV94" s="514"/>
      <c r="DW94" s="512"/>
      <c r="DX94" s="513"/>
      <c r="DY94" s="514"/>
      <c r="DZ94" s="514"/>
      <c r="EA94" s="514"/>
      <c r="EB94" s="514"/>
      <c r="EC94" s="514"/>
      <c r="ED94" s="514"/>
      <c r="EE94" s="514"/>
      <c r="EF94" s="514"/>
      <c r="EG94" s="514"/>
      <c r="EH94" s="514"/>
      <c r="EI94" s="514"/>
      <c r="EJ94" s="514"/>
      <c r="EK94" s="512"/>
      <c r="EL94" s="513"/>
      <c r="EM94" s="514"/>
      <c r="EN94" s="514"/>
      <c r="EO94" s="514"/>
      <c r="EP94" s="514"/>
      <c r="EQ94" s="514"/>
      <c r="ER94" s="514"/>
      <c r="ES94" s="514"/>
      <c r="ET94" s="514"/>
      <c r="EU94" s="514"/>
      <c r="EV94" s="514"/>
      <c r="EW94" s="514"/>
      <c r="EX94" s="514"/>
      <c r="EY94" s="512"/>
      <c r="EZ94" s="513"/>
      <c r="FA94" s="514"/>
      <c r="FB94" s="514"/>
      <c r="FC94" s="514"/>
      <c r="FD94" s="514"/>
      <c r="FE94" s="514"/>
      <c r="FF94" s="514"/>
      <c r="FG94" s="514"/>
      <c r="FH94" s="514"/>
      <c r="FI94" s="514"/>
      <c r="FJ94" s="514"/>
      <c r="FK94" s="514"/>
      <c r="FL94" s="514"/>
      <c r="FM94" s="512"/>
      <c r="FN94" s="513"/>
      <c r="FO94" s="514"/>
      <c r="FP94" s="514"/>
      <c r="FQ94" s="514"/>
      <c r="FR94" s="514"/>
      <c r="FS94" s="514"/>
      <c r="FT94" s="514"/>
      <c r="FU94" s="514"/>
      <c r="FV94" s="514"/>
      <c r="FW94" s="514"/>
      <c r="FX94" s="514"/>
      <c r="FY94" s="514"/>
      <c r="FZ94" s="514"/>
    </row>
    <row r="95" spans="1:182" s="171" customFormat="1" ht="19.350000000000001" customHeight="1" x14ac:dyDescent="0.2">
      <c r="A95" s="512"/>
      <c r="B95" s="513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512"/>
      <c r="P95" s="513"/>
      <c r="Q95" s="195"/>
      <c r="R95" s="195"/>
      <c r="S95" s="195"/>
      <c r="T95" s="195"/>
      <c r="U95" s="195"/>
      <c r="V95" s="195"/>
      <c r="W95" s="195"/>
      <c r="X95" s="195"/>
      <c r="Y95" s="514"/>
      <c r="Z95" s="514"/>
      <c r="AA95" s="514"/>
      <c r="AB95" s="514"/>
      <c r="AC95" s="512"/>
      <c r="AD95" s="513"/>
      <c r="AE95" s="514"/>
      <c r="AF95" s="514"/>
      <c r="AG95" s="514"/>
      <c r="AH95" s="514"/>
      <c r="AI95" s="514"/>
      <c r="AJ95" s="514"/>
      <c r="AK95" s="514"/>
      <c r="AL95" s="514"/>
      <c r="AM95" s="514"/>
      <c r="AN95" s="514"/>
      <c r="AO95" s="514"/>
      <c r="AP95" s="514"/>
      <c r="AQ95" s="512"/>
      <c r="AR95" s="513"/>
      <c r="AS95" s="514"/>
      <c r="AT95" s="514"/>
      <c r="AU95" s="514"/>
      <c r="AV95" s="514"/>
      <c r="AW95" s="514"/>
      <c r="AX95" s="514"/>
      <c r="AY95" s="514"/>
      <c r="AZ95" s="514"/>
      <c r="BA95" s="514"/>
      <c r="BB95" s="514"/>
      <c r="BC95" s="514"/>
      <c r="BD95" s="514"/>
      <c r="BE95" s="512"/>
      <c r="BF95" s="513"/>
      <c r="BG95" s="514"/>
      <c r="BH95" s="514"/>
      <c r="BI95" s="514"/>
      <c r="BJ95" s="514"/>
      <c r="BK95" s="514"/>
      <c r="BL95" s="514"/>
      <c r="BM95" s="514"/>
      <c r="BN95" s="514"/>
      <c r="BO95" s="514"/>
      <c r="BP95" s="514"/>
      <c r="BQ95" s="514"/>
      <c r="BR95" s="514"/>
      <c r="BS95" s="512"/>
      <c r="BT95" s="513"/>
      <c r="BU95" s="514"/>
      <c r="BV95" s="514"/>
      <c r="BW95" s="514"/>
      <c r="BX95" s="514"/>
      <c r="BY95" s="514"/>
      <c r="BZ95" s="514"/>
      <c r="CA95" s="514"/>
      <c r="CB95" s="514"/>
      <c r="CC95" s="514"/>
      <c r="CD95" s="514"/>
      <c r="CE95" s="514"/>
      <c r="CF95" s="514"/>
      <c r="CG95" s="512"/>
      <c r="CH95" s="513"/>
      <c r="CI95" s="514"/>
      <c r="CJ95" s="514"/>
      <c r="CK95" s="514"/>
      <c r="CL95" s="514"/>
      <c r="CM95" s="514"/>
      <c r="CN95" s="514"/>
      <c r="CO95" s="514"/>
      <c r="CP95" s="514"/>
      <c r="CQ95" s="514"/>
      <c r="CR95" s="514"/>
      <c r="CS95" s="514"/>
      <c r="CT95" s="514"/>
      <c r="CU95" s="512"/>
      <c r="CV95" s="513"/>
      <c r="CW95" s="514"/>
      <c r="CX95" s="514"/>
      <c r="CY95" s="514"/>
      <c r="CZ95" s="514"/>
      <c r="DA95" s="514"/>
      <c r="DB95" s="514"/>
      <c r="DC95" s="514"/>
      <c r="DD95" s="514"/>
      <c r="DE95" s="514"/>
      <c r="DF95" s="514"/>
      <c r="DG95" s="514"/>
      <c r="DH95" s="514"/>
      <c r="DI95" s="512"/>
      <c r="DJ95" s="513"/>
      <c r="DK95" s="514"/>
      <c r="DL95" s="514"/>
      <c r="DM95" s="514"/>
      <c r="DN95" s="514"/>
      <c r="DO95" s="514"/>
      <c r="DP95" s="514"/>
      <c r="DQ95" s="514"/>
      <c r="DR95" s="514"/>
      <c r="DS95" s="514"/>
      <c r="DT95" s="514"/>
      <c r="DU95" s="514"/>
      <c r="DV95" s="514"/>
      <c r="DW95" s="512"/>
      <c r="DX95" s="513"/>
      <c r="DY95" s="514"/>
      <c r="DZ95" s="514"/>
      <c r="EA95" s="514"/>
      <c r="EB95" s="514"/>
      <c r="EC95" s="514"/>
      <c r="ED95" s="514"/>
      <c r="EE95" s="514"/>
      <c r="EF95" s="514"/>
      <c r="EG95" s="514"/>
      <c r="EH95" s="514"/>
      <c r="EI95" s="514"/>
      <c r="EJ95" s="514"/>
      <c r="EK95" s="512"/>
      <c r="EL95" s="513"/>
      <c r="EM95" s="514"/>
      <c r="EN95" s="514"/>
      <c r="EO95" s="514"/>
      <c r="EP95" s="514"/>
      <c r="EQ95" s="514"/>
      <c r="ER95" s="514"/>
      <c r="ES95" s="514"/>
      <c r="ET95" s="514"/>
      <c r="EU95" s="514"/>
      <c r="EV95" s="514"/>
      <c r="EW95" s="514"/>
      <c r="EX95" s="514"/>
      <c r="EY95" s="512"/>
      <c r="EZ95" s="513"/>
      <c r="FA95" s="514"/>
      <c r="FB95" s="514"/>
      <c r="FC95" s="514"/>
      <c r="FD95" s="514"/>
      <c r="FE95" s="514"/>
      <c r="FF95" s="514"/>
      <c r="FG95" s="514"/>
      <c r="FH95" s="514"/>
      <c r="FI95" s="514"/>
      <c r="FJ95" s="514"/>
      <c r="FK95" s="514"/>
      <c r="FL95" s="514"/>
      <c r="FM95" s="512"/>
      <c r="FN95" s="513"/>
      <c r="FO95" s="514"/>
      <c r="FP95" s="514"/>
      <c r="FQ95" s="514"/>
      <c r="FR95" s="514"/>
      <c r="FS95" s="514"/>
      <c r="FT95" s="514"/>
      <c r="FU95" s="514"/>
      <c r="FV95" s="514"/>
      <c r="FW95" s="514"/>
      <c r="FX95" s="514"/>
      <c r="FY95" s="514"/>
      <c r="FZ95" s="514"/>
    </row>
    <row r="96" spans="1:182" s="171" customFormat="1" ht="19.350000000000001" customHeight="1" x14ac:dyDescent="0.2">
      <c r="A96" s="512"/>
      <c r="B96" s="513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512"/>
      <c r="P96" s="513"/>
      <c r="Q96" s="195"/>
      <c r="R96" s="195"/>
      <c r="S96" s="195"/>
      <c r="T96" s="195"/>
      <c r="U96" s="195"/>
      <c r="V96" s="195"/>
      <c r="W96" s="195"/>
      <c r="X96" s="195"/>
      <c r="Y96" s="514"/>
      <c r="Z96" s="514"/>
      <c r="AA96" s="514"/>
      <c r="AB96" s="514"/>
      <c r="AC96" s="512"/>
      <c r="AD96" s="513"/>
      <c r="AE96" s="514"/>
      <c r="AF96" s="514"/>
      <c r="AG96" s="514"/>
      <c r="AH96" s="514"/>
      <c r="AI96" s="514"/>
      <c r="AJ96" s="514"/>
      <c r="AK96" s="514"/>
      <c r="AL96" s="514"/>
      <c r="AM96" s="514"/>
      <c r="AN96" s="514"/>
      <c r="AO96" s="514"/>
      <c r="AP96" s="514"/>
      <c r="AQ96" s="512"/>
      <c r="AR96" s="513"/>
      <c r="AS96" s="514"/>
      <c r="AT96" s="514"/>
      <c r="AU96" s="514"/>
      <c r="AV96" s="514"/>
      <c r="AW96" s="514"/>
      <c r="AX96" s="514"/>
      <c r="AY96" s="514"/>
      <c r="AZ96" s="514"/>
      <c r="BA96" s="514"/>
      <c r="BB96" s="514"/>
      <c r="BC96" s="514"/>
      <c r="BD96" s="514"/>
      <c r="BE96" s="512"/>
      <c r="BF96" s="513"/>
      <c r="BG96" s="514"/>
      <c r="BH96" s="514"/>
      <c r="BI96" s="514"/>
      <c r="BJ96" s="514"/>
      <c r="BK96" s="514"/>
      <c r="BL96" s="514"/>
      <c r="BM96" s="514"/>
      <c r="BN96" s="514"/>
      <c r="BO96" s="514"/>
      <c r="BP96" s="514"/>
      <c r="BQ96" s="514"/>
      <c r="BR96" s="514"/>
      <c r="BS96" s="512"/>
      <c r="BT96" s="513"/>
      <c r="BU96" s="514"/>
      <c r="BV96" s="514"/>
      <c r="BW96" s="514"/>
      <c r="BX96" s="514"/>
      <c r="BY96" s="514"/>
      <c r="BZ96" s="514"/>
      <c r="CA96" s="514"/>
      <c r="CB96" s="514"/>
      <c r="CC96" s="514"/>
      <c r="CD96" s="514"/>
      <c r="CE96" s="514"/>
      <c r="CF96" s="514"/>
      <c r="CG96" s="512"/>
      <c r="CH96" s="513"/>
      <c r="CI96" s="514"/>
      <c r="CJ96" s="514"/>
      <c r="CK96" s="514"/>
      <c r="CL96" s="514"/>
      <c r="CM96" s="514"/>
      <c r="CN96" s="514"/>
      <c r="CO96" s="514"/>
      <c r="CP96" s="514"/>
      <c r="CQ96" s="514"/>
      <c r="CR96" s="514"/>
      <c r="CS96" s="514"/>
      <c r="CT96" s="514"/>
      <c r="CU96" s="512"/>
      <c r="CV96" s="513"/>
      <c r="CW96" s="514"/>
      <c r="CX96" s="514"/>
      <c r="CY96" s="514"/>
      <c r="CZ96" s="514"/>
      <c r="DA96" s="514"/>
      <c r="DB96" s="514"/>
      <c r="DC96" s="514"/>
      <c r="DD96" s="514"/>
      <c r="DE96" s="514"/>
      <c r="DF96" s="514"/>
      <c r="DG96" s="514"/>
      <c r="DH96" s="514"/>
      <c r="DI96" s="512"/>
      <c r="DJ96" s="513"/>
      <c r="DK96" s="514"/>
      <c r="DL96" s="514"/>
      <c r="DM96" s="514"/>
      <c r="DN96" s="514"/>
      <c r="DO96" s="514"/>
      <c r="DP96" s="514"/>
      <c r="DQ96" s="514"/>
      <c r="DR96" s="514"/>
      <c r="DS96" s="514"/>
      <c r="DT96" s="514"/>
      <c r="DU96" s="514"/>
      <c r="DV96" s="514"/>
      <c r="DW96" s="512"/>
      <c r="DX96" s="513"/>
      <c r="DY96" s="514"/>
      <c r="DZ96" s="514"/>
      <c r="EA96" s="514"/>
      <c r="EB96" s="514"/>
      <c r="EC96" s="514"/>
      <c r="ED96" s="514"/>
      <c r="EE96" s="514"/>
      <c r="EF96" s="514"/>
      <c r="EG96" s="514"/>
      <c r="EH96" s="514"/>
      <c r="EI96" s="514"/>
      <c r="EJ96" s="514"/>
      <c r="EK96" s="512"/>
      <c r="EL96" s="513"/>
      <c r="EM96" s="514"/>
      <c r="EN96" s="514"/>
      <c r="EO96" s="514"/>
      <c r="EP96" s="514"/>
      <c r="EQ96" s="514"/>
      <c r="ER96" s="514"/>
      <c r="ES96" s="514"/>
      <c r="ET96" s="514"/>
      <c r="EU96" s="514"/>
      <c r="EV96" s="514"/>
      <c r="EW96" s="514"/>
      <c r="EX96" s="514"/>
      <c r="EY96" s="512"/>
      <c r="EZ96" s="513"/>
      <c r="FA96" s="514"/>
      <c r="FB96" s="514"/>
      <c r="FC96" s="514"/>
      <c r="FD96" s="514"/>
      <c r="FE96" s="514"/>
      <c r="FF96" s="514"/>
      <c r="FG96" s="514"/>
      <c r="FH96" s="514"/>
      <c r="FI96" s="514"/>
      <c r="FJ96" s="514"/>
      <c r="FK96" s="514"/>
      <c r="FL96" s="514"/>
      <c r="FM96" s="512"/>
      <c r="FN96" s="513"/>
      <c r="FO96" s="514"/>
      <c r="FP96" s="514"/>
      <c r="FQ96" s="514"/>
      <c r="FR96" s="514"/>
      <c r="FS96" s="514"/>
      <c r="FT96" s="514"/>
      <c r="FU96" s="514"/>
      <c r="FV96" s="514"/>
      <c r="FW96" s="514"/>
      <c r="FX96" s="514"/>
      <c r="FY96" s="514"/>
      <c r="FZ96" s="514"/>
    </row>
    <row r="97" spans="1:182" ht="18" x14ac:dyDescent="0.25">
      <c r="A97" s="476"/>
      <c r="B97" s="476"/>
      <c r="C97" s="476"/>
      <c r="D97" s="476"/>
      <c r="E97" s="476"/>
      <c r="F97" s="476"/>
      <c r="G97" s="476"/>
      <c r="H97" s="476"/>
      <c r="I97" s="476"/>
      <c r="J97" s="476"/>
      <c r="K97" s="476"/>
      <c r="L97" s="476"/>
      <c r="M97" s="476"/>
      <c r="N97" s="476"/>
      <c r="O97" s="476"/>
      <c r="P97" s="476"/>
      <c r="Q97" s="476"/>
      <c r="R97" s="476"/>
      <c r="S97" s="476"/>
      <c r="T97" s="476"/>
      <c r="U97" s="476"/>
      <c r="V97" s="476"/>
      <c r="W97" s="476"/>
      <c r="X97" s="476"/>
      <c r="Y97" s="476"/>
      <c r="Z97" s="476"/>
      <c r="AA97" s="476"/>
      <c r="AB97" s="476"/>
      <c r="AC97" s="476"/>
      <c r="AD97" s="476"/>
      <c r="AE97" s="476"/>
      <c r="AF97" s="476"/>
      <c r="AG97" s="476"/>
      <c r="AH97" s="476"/>
      <c r="AI97" s="476"/>
      <c r="AJ97" s="476"/>
      <c r="AK97" s="476"/>
      <c r="AL97" s="476"/>
      <c r="AM97" s="476"/>
      <c r="AN97" s="476"/>
      <c r="AO97" s="476"/>
      <c r="AP97" s="476"/>
      <c r="AQ97" s="476"/>
      <c r="AR97" s="476"/>
      <c r="AS97" s="476"/>
      <c r="AT97" s="476"/>
      <c r="AU97" s="476"/>
      <c r="AV97" s="476"/>
      <c r="AW97" s="476"/>
      <c r="AX97" s="476"/>
      <c r="AY97" s="476"/>
      <c r="AZ97" s="476"/>
      <c r="BA97" s="476"/>
      <c r="BB97" s="476"/>
      <c r="BC97" s="476"/>
      <c r="BD97" s="476"/>
      <c r="BE97" s="476"/>
      <c r="BF97" s="476"/>
      <c r="BG97" s="476"/>
      <c r="BH97" s="476"/>
      <c r="BI97" s="476"/>
      <c r="BJ97" s="476"/>
      <c r="BK97" s="476"/>
      <c r="BL97" s="476"/>
      <c r="BM97" s="476"/>
      <c r="BN97" s="476"/>
      <c r="BO97" s="476"/>
      <c r="BP97" s="476"/>
      <c r="BQ97" s="476"/>
      <c r="BR97" s="476"/>
      <c r="BS97" s="476"/>
      <c r="BT97" s="476"/>
      <c r="BU97" s="476"/>
      <c r="BV97" s="476"/>
      <c r="BW97" s="476"/>
      <c r="BX97" s="476"/>
      <c r="BY97" s="476"/>
      <c r="BZ97" s="476"/>
      <c r="CA97" s="476"/>
      <c r="CB97" s="476"/>
      <c r="CC97" s="476"/>
      <c r="CD97" s="476"/>
      <c r="CE97" s="476"/>
      <c r="CF97" s="476"/>
      <c r="CG97" s="476"/>
      <c r="CH97" s="476"/>
      <c r="CI97" s="476"/>
      <c r="CJ97" s="476"/>
      <c r="CK97" s="476"/>
      <c r="CL97" s="476"/>
      <c r="CM97" s="476"/>
      <c r="CN97" s="476"/>
      <c r="CO97" s="476"/>
      <c r="CP97" s="476"/>
      <c r="CQ97" s="476"/>
      <c r="CR97" s="476"/>
      <c r="CS97" s="476"/>
      <c r="CT97" s="476"/>
      <c r="CU97" s="476"/>
      <c r="CV97" s="476"/>
      <c r="CW97" s="476"/>
      <c r="CX97" s="476"/>
      <c r="CY97" s="476"/>
      <c r="CZ97" s="476"/>
      <c r="DA97" s="476"/>
      <c r="DB97" s="476"/>
      <c r="DC97" s="476"/>
      <c r="DD97" s="476"/>
      <c r="DE97" s="476"/>
      <c r="DF97" s="476"/>
      <c r="DG97" s="476"/>
      <c r="DH97" s="476"/>
      <c r="DI97" s="476"/>
      <c r="DJ97" s="476"/>
      <c r="DK97" s="476"/>
      <c r="DL97" s="476"/>
      <c r="DM97" s="476"/>
      <c r="DN97" s="476"/>
      <c r="DO97" s="476"/>
      <c r="DP97" s="476"/>
      <c r="DQ97" s="476"/>
      <c r="DR97" s="476"/>
      <c r="DS97" s="476"/>
      <c r="DT97" s="476"/>
      <c r="DU97" s="476"/>
      <c r="DV97" s="476"/>
      <c r="DW97" s="476"/>
      <c r="DX97" s="476"/>
      <c r="DY97" s="476"/>
      <c r="DZ97" s="476"/>
      <c r="EA97" s="476"/>
      <c r="EB97" s="476"/>
      <c r="EC97" s="476"/>
      <c r="ED97" s="476"/>
      <c r="EE97" s="476"/>
      <c r="EF97" s="476"/>
      <c r="EG97" s="476"/>
      <c r="EH97" s="476"/>
      <c r="EI97" s="476"/>
      <c r="EJ97" s="476"/>
      <c r="EK97" s="476"/>
      <c r="EL97" s="476"/>
      <c r="EM97" s="476"/>
      <c r="EN97" s="476"/>
      <c r="EO97" s="476"/>
      <c r="EP97" s="476"/>
      <c r="EQ97" s="476"/>
      <c r="ER97" s="476"/>
      <c r="ES97" s="476"/>
      <c r="ET97" s="476"/>
      <c r="EU97" s="476"/>
      <c r="EV97" s="476"/>
      <c r="EW97" s="476"/>
      <c r="EX97" s="476"/>
      <c r="EY97" s="476"/>
      <c r="EZ97" s="476"/>
      <c r="FA97" s="476"/>
      <c r="FB97" s="476"/>
      <c r="FC97" s="476"/>
      <c r="FD97" s="476"/>
      <c r="FE97" s="476"/>
      <c r="FF97" s="476"/>
      <c r="FG97" s="476"/>
      <c r="FH97" s="476"/>
      <c r="FI97" s="476"/>
      <c r="FJ97" s="476"/>
      <c r="FK97" s="476"/>
      <c r="FL97" s="476"/>
      <c r="FM97" s="476"/>
      <c r="FN97" s="476"/>
      <c r="FO97" s="476"/>
      <c r="FP97" s="476"/>
      <c r="FQ97" s="476"/>
      <c r="FR97" s="476"/>
      <c r="FS97" s="476"/>
      <c r="FT97" s="476"/>
      <c r="FU97" s="476"/>
      <c r="FV97" s="476"/>
      <c r="FW97" s="476"/>
      <c r="FX97" s="476"/>
      <c r="FY97" s="476"/>
      <c r="FZ97" s="476"/>
    </row>
    <row r="98" spans="1:182" ht="15.75" x14ac:dyDescent="0.25">
      <c r="A98" s="477"/>
      <c r="B98" s="477"/>
      <c r="C98" s="477"/>
      <c r="D98" s="477"/>
      <c r="E98" s="477"/>
      <c r="F98" s="477"/>
      <c r="G98" s="477"/>
      <c r="H98" s="477"/>
      <c r="I98" s="477"/>
      <c r="J98" s="477"/>
      <c r="K98" s="477"/>
      <c r="L98" s="477"/>
      <c r="M98" s="477"/>
      <c r="N98" s="477"/>
      <c r="O98" s="477"/>
      <c r="P98" s="477"/>
      <c r="Q98" s="477"/>
      <c r="R98" s="477"/>
      <c r="S98" s="477"/>
      <c r="T98" s="477"/>
      <c r="U98" s="477"/>
      <c r="V98" s="477"/>
      <c r="W98" s="477"/>
      <c r="X98" s="477"/>
      <c r="Y98" s="477"/>
      <c r="Z98" s="477"/>
      <c r="AA98" s="477"/>
      <c r="AB98" s="477"/>
      <c r="AC98" s="477"/>
      <c r="AD98" s="477"/>
      <c r="AE98" s="477"/>
      <c r="AF98" s="477"/>
      <c r="AG98" s="477"/>
      <c r="AH98" s="477"/>
      <c r="AI98" s="477"/>
      <c r="AJ98" s="477"/>
      <c r="AK98" s="477"/>
      <c r="AL98" s="477"/>
      <c r="AM98" s="477"/>
      <c r="AN98" s="477"/>
      <c r="AO98" s="477"/>
      <c r="AP98" s="477"/>
      <c r="AQ98" s="477"/>
      <c r="AR98" s="477"/>
      <c r="AS98" s="477"/>
      <c r="AT98" s="477"/>
      <c r="AU98" s="477"/>
      <c r="AV98" s="477"/>
      <c r="AW98" s="477"/>
      <c r="AX98" s="477"/>
      <c r="AY98" s="477"/>
      <c r="AZ98" s="477"/>
      <c r="BA98" s="477"/>
      <c r="BB98" s="477"/>
      <c r="BC98" s="477"/>
      <c r="BD98" s="477"/>
      <c r="BE98" s="477"/>
      <c r="BF98" s="477"/>
      <c r="BG98" s="477"/>
      <c r="BH98" s="477"/>
      <c r="BI98" s="477"/>
      <c r="BJ98" s="477"/>
      <c r="BK98" s="477"/>
      <c r="BL98" s="477"/>
      <c r="BM98" s="477"/>
      <c r="BN98" s="477"/>
      <c r="BO98" s="477"/>
      <c r="BP98" s="477"/>
      <c r="BQ98" s="477"/>
      <c r="BR98" s="477"/>
      <c r="BS98" s="477"/>
      <c r="BT98" s="477"/>
      <c r="BU98" s="477"/>
      <c r="BV98" s="477"/>
      <c r="BW98" s="477"/>
      <c r="BX98" s="477"/>
      <c r="BY98" s="477"/>
      <c r="BZ98" s="477"/>
      <c r="CA98" s="477"/>
      <c r="CB98" s="477"/>
      <c r="CC98" s="477"/>
      <c r="CD98" s="477"/>
      <c r="CE98" s="477"/>
      <c r="CF98" s="477"/>
      <c r="CG98" s="477"/>
      <c r="CH98" s="477"/>
      <c r="CI98" s="477"/>
      <c r="CJ98" s="477"/>
      <c r="CK98" s="477"/>
      <c r="CL98" s="477"/>
      <c r="CM98" s="477"/>
      <c r="CN98" s="477"/>
      <c r="CO98" s="477"/>
      <c r="CP98" s="477"/>
      <c r="CQ98" s="477"/>
      <c r="CR98" s="477"/>
      <c r="CS98" s="477"/>
      <c r="CT98" s="477"/>
      <c r="CU98" s="477"/>
      <c r="CV98" s="477"/>
      <c r="CW98" s="477"/>
      <c r="CX98" s="477"/>
      <c r="CY98" s="477"/>
      <c r="CZ98" s="477"/>
      <c r="DA98" s="477"/>
      <c r="DB98" s="477"/>
      <c r="DC98" s="477"/>
      <c r="DD98" s="477"/>
      <c r="DE98" s="477"/>
      <c r="DF98" s="477"/>
      <c r="DG98" s="477"/>
      <c r="DH98" s="477"/>
      <c r="DI98" s="477"/>
      <c r="DJ98" s="477"/>
      <c r="DK98" s="477"/>
      <c r="DL98" s="477"/>
      <c r="DM98" s="477"/>
      <c r="DN98" s="477"/>
      <c r="DO98" s="477"/>
      <c r="DP98" s="477"/>
      <c r="DQ98" s="477"/>
      <c r="DR98" s="477"/>
      <c r="DS98" s="477"/>
      <c r="DT98" s="477"/>
      <c r="DU98" s="477"/>
      <c r="DV98" s="477"/>
      <c r="DW98" s="477"/>
      <c r="DX98" s="477"/>
      <c r="DY98" s="477"/>
      <c r="DZ98" s="477"/>
      <c r="EA98" s="477"/>
      <c r="EB98" s="477"/>
      <c r="EC98" s="477"/>
      <c r="ED98" s="477"/>
      <c r="EE98" s="477"/>
      <c r="EF98" s="477"/>
      <c r="EG98" s="477"/>
      <c r="EH98" s="477"/>
      <c r="EI98" s="477"/>
      <c r="EJ98" s="477"/>
      <c r="EK98" s="477"/>
      <c r="EL98" s="477"/>
      <c r="EM98" s="477"/>
      <c r="EN98" s="477"/>
      <c r="EO98" s="477"/>
      <c r="EP98" s="477"/>
      <c r="EQ98" s="477"/>
      <c r="ER98" s="477"/>
      <c r="ES98" s="477"/>
      <c r="ET98" s="477"/>
      <c r="EU98" s="477"/>
      <c r="EV98" s="477"/>
      <c r="EW98" s="477"/>
      <c r="EX98" s="477"/>
      <c r="EY98" s="477"/>
      <c r="EZ98" s="477"/>
      <c r="FA98" s="477"/>
      <c r="FB98" s="477"/>
      <c r="FC98" s="477"/>
      <c r="FD98" s="477"/>
      <c r="FE98" s="477"/>
      <c r="FF98" s="477"/>
      <c r="FG98" s="477"/>
      <c r="FH98" s="477"/>
      <c r="FI98" s="477"/>
      <c r="FJ98" s="477"/>
      <c r="FK98" s="477"/>
      <c r="FL98" s="477"/>
      <c r="FM98" s="477"/>
      <c r="FN98" s="477"/>
      <c r="FO98" s="477"/>
      <c r="FP98" s="477"/>
      <c r="FQ98" s="477"/>
      <c r="FR98" s="477"/>
      <c r="FS98" s="477"/>
      <c r="FT98" s="477"/>
      <c r="FU98" s="477"/>
      <c r="FV98" s="477"/>
      <c r="FW98" s="477"/>
      <c r="FX98" s="477"/>
      <c r="FY98" s="477"/>
      <c r="FZ98" s="477"/>
    </row>
    <row r="99" spans="1:182" ht="15.75" x14ac:dyDescent="0.25">
      <c r="A99" s="477"/>
      <c r="B99" s="477"/>
      <c r="C99" s="477"/>
      <c r="D99" s="477"/>
      <c r="E99" s="477"/>
      <c r="F99" s="477"/>
      <c r="G99" s="477"/>
      <c r="H99" s="477"/>
      <c r="I99" s="477"/>
      <c r="J99" s="477"/>
      <c r="K99" s="477"/>
      <c r="L99" s="477"/>
      <c r="M99" s="477"/>
      <c r="N99" s="477"/>
      <c r="O99" s="477"/>
      <c r="P99" s="477"/>
      <c r="Q99" s="477"/>
      <c r="R99" s="477"/>
      <c r="S99" s="477"/>
      <c r="T99" s="477"/>
      <c r="U99" s="477"/>
      <c r="V99" s="477"/>
      <c r="W99" s="477"/>
      <c r="X99" s="477"/>
      <c r="Y99" s="477"/>
      <c r="Z99" s="477"/>
      <c r="AA99" s="477"/>
      <c r="AB99" s="477"/>
      <c r="AC99" s="477"/>
      <c r="AD99" s="477"/>
      <c r="AE99" s="477"/>
      <c r="AF99" s="477"/>
      <c r="AG99" s="477"/>
      <c r="AH99" s="477"/>
      <c r="AI99" s="477"/>
      <c r="AJ99" s="477"/>
      <c r="AK99" s="477"/>
      <c r="AL99" s="477"/>
      <c r="AM99" s="477"/>
      <c r="AN99" s="477"/>
      <c r="AO99" s="477"/>
      <c r="AP99" s="477"/>
      <c r="AQ99" s="477"/>
      <c r="AR99" s="477"/>
      <c r="AS99" s="477"/>
      <c r="AT99" s="477"/>
      <c r="AU99" s="477"/>
      <c r="AV99" s="477"/>
      <c r="AW99" s="477"/>
      <c r="AX99" s="477"/>
      <c r="AY99" s="477"/>
      <c r="AZ99" s="477"/>
      <c r="BA99" s="477"/>
      <c r="BB99" s="477"/>
      <c r="BC99" s="477"/>
      <c r="BD99" s="477"/>
      <c r="BE99" s="477"/>
      <c r="BF99" s="477"/>
      <c r="BG99" s="477"/>
      <c r="BH99" s="477"/>
      <c r="BI99" s="477"/>
      <c r="BJ99" s="477"/>
      <c r="BK99" s="477"/>
      <c r="BL99" s="477"/>
      <c r="BM99" s="477"/>
      <c r="BN99" s="477"/>
      <c r="BO99" s="477"/>
      <c r="BP99" s="477"/>
      <c r="BQ99" s="477"/>
      <c r="BR99" s="477"/>
      <c r="BS99" s="477"/>
      <c r="BT99" s="477"/>
      <c r="BU99" s="477"/>
      <c r="BV99" s="477"/>
      <c r="BW99" s="477"/>
      <c r="BX99" s="477"/>
      <c r="BY99" s="477"/>
      <c r="BZ99" s="477"/>
      <c r="CA99" s="477"/>
      <c r="CB99" s="477"/>
      <c r="CC99" s="477"/>
      <c r="CD99" s="477"/>
      <c r="CE99" s="477"/>
      <c r="CF99" s="477"/>
      <c r="CG99" s="477"/>
      <c r="CH99" s="477"/>
      <c r="CI99" s="477"/>
      <c r="CJ99" s="477"/>
      <c r="CK99" s="477"/>
      <c r="CL99" s="477"/>
      <c r="CM99" s="477"/>
      <c r="CN99" s="477"/>
      <c r="CO99" s="477"/>
      <c r="CP99" s="477"/>
      <c r="CQ99" s="477"/>
      <c r="CR99" s="477"/>
      <c r="CS99" s="477"/>
      <c r="CT99" s="477"/>
      <c r="CU99" s="477"/>
      <c r="CV99" s="477"/>
      <c r="CW99" s="477"/>
      <c r="CX99" s="477"/>
      <c r="CY99" s="477"/>
      <c r="CZ99" s="477"/>
      <c r="DA99" s="477"/>
      <c r="DB99" s="477"/>
      <c r="DC99" s="477"/>
      <c r="DD99" s="477"/>
      <c r="DE99" s="477"/>
      <c r="DF99" s="477"/>
      <c r="DG99" s="477"/>
      <c r="DH99" s="477"/>
      <c r="DI99" s="477"/>
      <c r="DJ99" s="477"/>
      <c r="DK99" s="477"/>
      <c r="DL99" s="477"/>
      <c r="DM99" s="477"/>
      <c r="DN99" s="477"/>
      <c r="DO99" s="477"/>
      <c r="DP99" s="477"/>
      <c r="DQ99" s="477"/>
      <c r="DR99" s="477"/>
      <c r="DS99" s="477"/>
      <c r="DT99" s="477"/>
      <c r="DU99" s="477"/>
      <c r="DV99" s="477"/>
      <c r="DW99" s="477"/>
      <c r="DX99" s="477"/>
      <c r="DY99" s="477"/>
      <c r="DZ99" s="477"/>
      <c r="EA99" s="477"/>
      <c r="EB99" s="477"/>
      <c r="EC99" s="477"/>
      <c r="ED99" s="477"/>
      <c r="EE99" s="477"/>
      <c r="EF99" s="477"/>
      <c r="EG99" s="477"/>
      <c r="EH99" s="477"/>
      <c r="EI99" s="477"/>
      <c r="EJ99" s="477"/>
      <c r="EK99" s="477"/>
      <c r="EL99" s="477"/>
      <c r="EM99" s="477"/>
      <c r="EN99" s="477"/>
      <c r="EO99" s="477"/>
      <c r="EP99" s="477"/>
      <c r="EQ99" s="477"/>
      <c r="ER99" s="477"/>
      <c r="ES99" s="477"/>
      <c r="ET99" s="477"/>
      <c r="EU99" s="477"/>
      <c r="EV99" s="477"/>
      <c r="EW99" s="477"/>
      <c r="EX99" s="477"/>
      <c r="EY99" s="477"/>
      <c r="EZ99" s="477"/>
      <c r="FA99" s="477"/>
      <c r="FB99" s="477"/>
      <c r="FC99" s="477"/>
      <c r="FD99" s="477"/>
      <c r="FE99" s="477"/>
      <c r="FF99" s="477"/>
      <c r="FG99" s="477"/>
      <c r="FH99" s="477"/>
      <c r="FI99" s="477"/>
      <c r="FJ99" s="477"/>
      <c r="FK99" s="477"/>
      <c r="FL99" s="477"/>
      <c r="FM99" s="477"/>
      <c r="FN99" s="477"/>
      <c r="FO99" s="477"/>
      <c r="FP99" s="477"/>
      <c r="FQ99" s="477"/>
      <c r="FR99" s="477"/>
      <c r="FS99" s="477"/>
      <c r="FT99" s="477"/>
      <c r="FU99" s="477"/>
      <c r="FV99" s="477"/>
      <c r="FW99" s="477"/>
      <c r="FX99" s="477"/>
      <c r="FY99" s="477"/>
      <c r="FZ99" s="477"/>
    </row>
    <row r="100" spans="1:182" ht="15.75" x14ac:dyDescent="0.25">
      <c r="A100" s="477"/>
      <c r="B100" s="477"/>
      <c r="C100" s="477"/>
      <c r="D100" s="477"/>
      <c r="E100" s="477"/>
      <c r="F100" s="477"/>
      <c r="G100" s="477"/>
      <c r="H100" s="477"/>
      <c r="I100" s="477"/>
      <c r="J100" s="477"/>
      <c r="K100" s="477"/>
      <c r="L100" s="477"/>
      <c r="M100" s="477" t="s">
        <v>161</v>
      </c>
      <c r="N100" s="477"/>
      <c r="O100" s="477"/>
      <c r="P100" s="477"/>
      <c r="Q100" s="477"/>
      <c r="R100" s="477"/>
      <c r="S100" s="477" t="s">
        <v>161</v>
      </c>
      <c r="T100" s="477"/>
      <c r="U100" s="477"/>
      <c r="V100" s="477"/>
      <c r="W100" s="477" t="s">
        <v>161</v>
      </c>
      <c r="X100" s="477"/>
      <c r="Y100" s="477"/>
      <c r="Z100" s="477"/>
      <c r="AA100" s="477"/>
      <c r="AB100" s="477"/>
      <c r="AC100" s="477"/>
      <c r="AD100" s="477"/>
      <c r="AE100" s="477"/>
      <c r="AF100" s="477"/>
      <c r="AG100" s="477"/>
      <c r="AH100" s="477"/>
      <c r="AI100" s="477"/>
      <c r="AJ100" s="477"/>
      <c r="AK100" s="477"/>
      <c r="AL100" s="477"/>
      <c r="AM100" s="477"/>
      <c r="AN100" s="477"/>
      <c r="AO100" s="477"/>
      <c r="AP100" s="477"/>
      <c r="AQ100" s="477"/>
      <c r="AR100" s="477"/>
      <c r="AS100" s="477"/>
      <c r="AT100" s="477"/>
      <c r="AU100" s="477"/>
      <c r="AV100" s="477"/>
      <c r="AW100" s="477"/>
      <c r="AX100" s="477"/>
      <c r="AY100" s="477"/>
      <c r="AZ100" s="477"/>
      <c r="BA100" s="477"/>
      <c r="BB100" s="477"/>
      <c r="BC100" s="477"/>
      <c r="BD100" s="477"/>
      <c r="BE100" s="477"/>
      <c r="BF100" s="477"/>
      <c r="BG100" s="477"/>
      <c r="BH100" s="477"/>
      <c r="BI100" s="477"/>
      <c r="BJ100" s="477"/>
      <c r="BK100" s="477"/>
      <c r="BL100" s="477"/>
      <c r="BM100" s="477"/>
      <c r="BN100" s="477"/>
      <c r="BO100" s="477"/>
      <c r="BP100" s="477"/>
      <c r="BQ100" s="477"/>
      <c r="BR100" s="477"/>
      <c r="BS100" s="477"/>
      <c r="BT100" s="477"/>
      <c r="BU100" s="477"/>
      <c r="BV100" s="477"/>
      <c r="BW100" s="477"/>
      <c r="BX100" s="477"/>
      <c r="BY100" s="477"/>
      <c r="BZ100" s="477"/>
      <c r="CA100" s="477"/>
      <c r="CB100" s="477"/>
      <c r="CC100" s="477"/>
      <c r="CD100" s="477"/>
      <c r="CE100" s="477"/>
      <c r="CF100" s="477"/>
      <c r="CG100" s="477"/>
      <c r="CH100" s="477"/>
      <c r="CI100" s="477"/>
      <c r="CJ100" s="477"/>
      <c r="CK100" s="477"/>
      <c r="CL100" s="477"/>
      <c r="CM100" s="477"/>
      <c r="CN100" s="477"/>
      <c r="CO100" s="477"/>
      <c r="CP100" s="477"/>
      <c r="CQ100" s="477"/>
      <c r="CR100" s="477"/>
      <c r="CS100" s="477"/>
      <c r="CT100" s="477"/>
      <c r="CU100" s="477"/>
      <c r="CV100" s="477"/>
      <c r="CW100" s="477"/>
      <c r="CX100" s="477"/>
      <c r="CY100" s="477"/>
      <c r="CZ100" s="477"/>
      <c r="DA100" s="477"/>
      <c r="DB100" s="477"/>
      <c r="DC100" s="477"/>
      <c r="DD100" s="477"/>
      <c r="DE100" s="477"/>
      <c r="DF100" s="477"/>
      <c r="DG100" s="477"/>
      <c r="DH100" s="477"/>
      <c r="DI100" s="477"/>
      <c r="DJ100" s="477"/>
      <c r="DK100" s="477"/>
      <c r="DL100" s="477"/>
      <c r="DM100" s="477"/>
      <c r="DN100" s="477"/>
      <c r="DO100" s="477"/>
      <c r="DP100" s="477"/>
      <c r="DQ100" s="477"/>
      <c r="DR100" s="477"/>
      <c r="DS100" s="477"/>
      <c r="DT100" s="477"/>
      <c r="DU100" s="477"/>
      <c r="DV100" s="477"/>
      <c r="DW100" s="477"/>
      <c r="DX100" s="477"/>
      <c r="DY100" s="477"/>
      <c r="DZ100" s="477"/>
      <c r="EA100" s="477"/>
      <c r="EB100" s="477"/>
      <c r="EC100" s="477"/>
      <c r="ED100" s="477"/>
      <c r="EE100" s="477"/>
      <c r="EF100" s="477"/>
      <c r="EG100" s="477"/>
      <c r="EH100" s="477"/>
      <c r="EI100" s="477"/>
      <c r="EJ100" s="477"/>
      <c r="EK100" s="477"/>
      <c r="EL100" s="477"/>
      <c r="EM100" s="477"/>
      <c r="EN100" s="477"/>
      <c r="EO100" s="477"/>
      <c r="EP100" s="477"/>
      <c r="EQ100" s="477"/>
      <c r="ER100" s="477"/>
      <c r="ES100" s="477"/>
      <c r="ET100" s="477"/>
      <c r="EU100" s="477"/>
      <c r="EV100" s="477"/>
      <c r="EW100" s="477"/>
      <c r="EX100" s="477"/>
      <c r="EY100" s="477"/>
      <c r="EZ100" s="477"/>
      <c r="FA100" s="477"/>
      <c r="FB100" s="477"/>
      <c r="FC100" s="477"/>
      <c r="FD100" s="477"/>
      <c r="FE100" s="477"/>
      <c r="FF100" s="477"/>
      <c r="FG100" s="477"/>
      <c r="FH100" s="477"/>
      <c r="FI100" s="477"/>
      <c r="FJ100" s="477"/>
      <c r="FK100" s="477"/>
      <c r="FL100" s="477"/>
      <c r="FM100" s="477"/>
      <c r="FN100" s="477"/>
      <c r="FO100" s="477"/>
      <c r="FP100" s="477"/>
      <c r="FQ100" s="477"/>
      <c r="FR100" s="477"/>
      <c r="FS100" s="477"/>
      <c r="FT100" s="477"/>
      <c r="FU100" s="477"/>
      <c r="FV100" s="477"/>
      <c r="FW100" s="477"/>
      <c r="FX100" s="477"/>
      <c r="FY100" s="477"/>
      <c r="FZ100" s="477"/>
    </row>
    <row r="101" spans="1:182" ht="15.75" x14ac:dyDescent="0.25">
      <c r="A101" s="477"/>
      <c r="B101" s="477"/>
      <c r="C101" s="477"/>
      <c r="D101" s="477"/>
      <c r="E101" s="477"/>
      <c r="F101" s="477"/>
      <c r="G101" s="477"/>
      <c r="H101" s="477"/>
      <c r="I101" s="477"/>
      <c r="J101" s="477"/>
      <c r="K101" s="477"/>
      <c r="L101" s="477"/>
      <c r="M101" s="477"/>
      <c r="N101" s="477"/>
      <c r="O101" s="477"/>
      <c r="P101" s="477"/>
      <c r="Q101" s="477"/>
      <c r="R101" s="477"/>
      <c r="S101" s="477"/>
      <c r="T101" s="477"/>
      <c r="U101" s="477"/>
      <c r="V101" s="477"/>
      <c r="W101" s="477"/>
      <c r="X101" s="477"/>
      <c r="Y101" s="477"/>
      <c r="Z101" s="477"/>
      <c r="AA101" s="477"/>
      <c r="AB101" s="477"/>
      <c r="AC101" s="477"/>
      <c r="AD101" s="477"/>
      <c r="AE101" s="477"/>
      <c r="AF101" s="477"/>
      <c r="AG101" s="477"/>
      <c r="AH101" s="477"/>
      <c r="AI101" s="477"/>
      <c r="AJ101" s="477"/>
      <c r="AK101" s="477"/>
      <c r="AL101" s="477"/>
      <c r="AM101" s="477"/>
      <c r="AN101" s="477"/>
      <c r="AO101" s="477"/>
      <c r="AP101" s="477"/>
      <c r="AQ101" s="477"/>
      <c r="AR101" s="477"/>
      <c r="AS101" s="477"/>
      <c r="AT101" s="477"/>
      <c r="AU101" s="477"/>
      <c r="AV101" s="477"/>
      <c r="AW101" s="477"/>
      <c r="AX101" s="477"/>
      <c r="AY101" s="477"/>
      <c r="AZ101" s="477"/>
      <c r="BA101" s="477"/>
      <c r="BB101" s="477"/>
      <c r="BC101" s="477"/>
      <c r="BD101" s="477"/>
      <c r="BE101" s="477"/>
      <c r="BF101" s="477"/>
      <c r="BG101" s="477"/>
      <c r="BH101" s="477"/>
      <c r="BI101" s="477"/>
      <c r="BJ101" s="477"/>
      <c r="BK101" s="477"/>
      <c r="BL101" s="477"/>
      <c r="BM101" s="477"/>
      <c r="BN101" s="477"/>
      <c r="BO101" s="477"/>
      <c r="BP101" s="477"/>
      <c r="BQ101" s="477"/>
      <c r="BR101" s="477"/>
      <c r="BS101" s="477"/>
      <c r="BT101" s="477"/>
      <c r="BU101" s="477"/>
      <c r="BV101" s="477"/>
      <c r="BW101" s="477"/>
      <c r="BX101" s="477"/>
      <c r="BY101" s="477"/>
      <c r="BZ101" s="477"/>
      <c r="CA101" s="477"/>
      <c r="CB101" s="477"/>
      <c r="CC101" s="477"/>
      <c r="CD101" s="477"/>
      <c r="CE101" s="477"/>
      <c r="CF101" s="477"/>
      <c r="CG101" s="477"/>
      <c r="CH101" s="477"/>
      <c r="CI101" s="477"/>
      <c r="CJ101" s="477"/>
      <c r="CK101" s="477"/>
      <c r="CL101" s="477"/>
      <c r="CM101" s="477"/>
      <c r="CN101" s="477"/>
      <c r="CO101" s="477"/>
      <c r="CP101" s="477"/>
      <c r="CQ101" s="477"/>
      <c r="CR101" s="477"/>
      <c r="CS101" s="477"/>
      <c r="CT101" s="477"/>
      <c r="CU101" s="477"/>
      <c r="CV101" s="477"/>
      <c r="CW101" s="477"/>
      <c r="CX101" s="477"/>
      <c r="CY101" s="477"/>
      <c r="CZ101" s="477"/>
      <c r="DA101" s="477"/>
      <c r="DB101" s="477"/>
      <c r="DC101" s="477"/>
      <c r="DD101" s="477"/>
      <c r="DE101" s="477"/>
      <c r="DF101" s="477"/>
      <c r="DG101" s="477"/>
      <c r="DH101" s="477"/>
      <c r="DI101" s="477"/>
      <c r="DJ101" s="477"/>
      <c r="DK101" s="477"/>
      <c r="DL101" s="477"/>
      <c r="DM101" s="477"/>
      <c r="DN101" s="477"/>
      <c r="DO101" s="477"/>
      <c r="DP101" s="477"/>
      <c r="DQ101" s="477"/>
      <c r="DR101" s="477"/>
      <c r="DS101" s="477"/>
      <c r="DT101" s="477"/>
      <c r="DU101" s="477"/>
      <c r="DV101" s="477"/>
      <c r="DW101" s="477"/>
      <c r="DX101" s="477"/>
      <c r="DY101" s="477"/>
      <c r="DZ101" s="477"/>
      <c r="EA101" s="477"/>
      <c r="EB101" s="477"/>
      <c r="EC101" s="477"/>
      <c r="ED101" s="477"/>
      <c r="EE101" s="477"/>
      <c r="EF101" s="477"/>
      <c r="EG101" s="477"/>
      <c r="EH101" s="477"/>
      <c r="EI101" s="477"/>
      <c r="EJ101" s="477"/>
      <c r="EK101" s="477"/>
      <c r="EL101" s="477"/>
      <c r="EM101" s="477"/>
      <c r="EN101" s="477"/>
      <c r="EO101" s="477"/>
      <c r="EP101" s="477"/>
      <c r="EQ101" s="477"/>
      <c r="ER101" s="477"/>
      <c r="ES101" s="477"/>
      <c r="ET101" s="477"/>
      <c r="EU101" s="477"/>
      <c r="EV101" s="477"/>
      <c r="EW101" s="477"/>
      <c r="EX101" s="477"/>
      <c r="EY101" s="477"/>
      <c r="EZ101" s="477"/>
      <c r="FA101" s="477"/>
      <c r="FB101" s="477"/>
      <c r="FC101" s="477"/>
      <c r="FD101" s="477"/>
      <c r="FE101" s="477"/>
      <c r="FF101" s="477"/>
      <c r="FG101" s="477"/>
      <c r="FH101" s="477"/>
      <c r="FI101" s="477"/>
      <c r="FJ101" s="477"/>
      <c r="FK101" s="477"/>
      <c r="FL101" s="477"/>
      <c r="FM101" s="477"/>
      <c r="FN101" s="477"/>
      <c r="FO101" s="477"/>
      <c r="FP101" s="477"/>
      <c r="FQ101" s="477"/>
      <c r="FR101" s="477"/>
      <c r="FS101" s="477"/>
      <c r="FT101" s="477"/>
      <c r="FU101" s="477"/>
      <c r="FV101" s="477"/>
      <c r="FW101" s="477"/>
      <c r="FX101" s="477"/>
      <c r="FY101" s="477"/>
      <c r="FZ101" s="477"/>
    </row>
    <row r="102" spans="1:182" ht="15.75" x14ac:dyDescent="0.25">
      <c r="A102" s="477"/>
      <c r="B102" s="477"/>
      <c r="C102" s="477"/>
      <c r="D102" s="477"/>
      <c r="E102" s="477"/>
      <c r="F102" s="477"/>
      <c r="G102" s="477"/>
      <c r="H102" s="477"/>
      <c r="I102" s="477"/>
      <c r="J102" s="477"/>
      <c r="K102" s="477"/>
      <c r="L102" s="477"/>
      <c r="M102" s="477"/>
      <c r="N102" s="477"/>
      <c r="O102" s="477"/>
      <c r="P102" s="477"/>
      <c r="Q102" s="477"/>
      <c r="R102" s="477"/>
      <c r="S102" s="477"/>
      <c r="T102" s="477"/>
      <c r="U102" s="477"/>
      <c r="V102" s="477"/>
      <c r="W102" s="477"/>
      <c r="X102" s="477"/>
      <c r="Y102" s="477"/>
      <c r="Z102" s="477"/>
      <c r="AA102" s="477"/>
      <c r="AB102" s="477"/>
      <c r="AC102" s="477"/>
      <c r="AD102" s="477"/>
      <c r="AE102" s="477"/>
      <c r="AF102" s="477"/>
      <c r="AG102" s="477"/>
      <c r="AH102" s="477"/>
      <c r="AI102" s="477"/>
      <c r="AJ102" s="477"/>
      <c r="AK102" s="477"/>
      <c r="AL102" s="477"/>
      <c r="AM102" s="477"/>
      <c r="AN102" s="477"/>
      <c r="AO102" s="477"/>
      <c r="AP102" s="477"/>
      <c r="AQ102" s="477"/>
      <c r="AR102" s="477"/>
      <c r="AS102" s="477"/>
      <c r="AT102" s="477"/>
      <c r="AU102" s="477"/>
      <c r="AV102" s="477"/>
      <c r="AW102" s="477"/>
      <c r="AX102" s="477"/>
      <c r="AY102" s="477"/>
      <c r="AZ102" s="477"/>
      <c r="BA102" s="477"/>
      <c r="BB102" s="477"/>
      <c r="BC102" s="477"/>
      <c r="BD102" s="477"/>
      <c r="BE102" s="477"/>
      <c r="BF102" s="477"/>
      <c r="BG102" s="477"/>
      <c r="BH102" s="477"/>
      <c r="BI102" s="477"/>
      <c r="BJ102" s="477"/>
      <c r="BK102" s="477"/>
      <c r="BL102" s="477"/>
      <c r="BM102" s="477"/>
      <c r="BN102" s="477"/>
      <c r="BO102" s="477"/>
      <c r="BP102" s="477"/>
      <c r="BQ102" s="477"/>
      <c r="BR102" s="477"/>
      <c r="BS102" s="477"/>
      <c r="BT102" s="477"/>
      <c r="BU102" s="477"/>
      <c r="BV102" s="477"/>
      <c r="BW102" s="477"/>
      <c r="BX102" s="477"/>
      <c r="BY102" s="477"/>
      <c r="BZ102" s="477"/>
      <c r="CA102" s="477"/>
      <c r="CB102" s="477"/>
      <c r="CC102" s="477"/>
      <c r="CD102" s="477"/>
      <c r="CE102" s="477"/>
      <c r="CF102" s="477"/>
      <c r="CG102" s="477"/>
      <c r="CH102" s="477"/>
      <c r="CI102" s="477"/>
      <c r="CJ102" s="477"/>
      <c r="CK102" s="477"/>
      <c r="CL102" s="477"/>
      <c r="CM102" s="477"/>
      <c r="CN102" s="477"/>
      <c r="CO102" s="477"/>
      <c r="CP102" s="477"/>
      <c r="CQ102" s="477"/>
      <c r="CR102" s="477"/>
      <c r="CS102" s="477"/>
      <c r="CT102" s="477"/>
      <c r="CU102" s="477"/>
      <c r="CV102" s="477"/>
      <c r="CW102" s="477"/>
      <c r="CX102" s="477"/>
      <c r="CY102" s="477"/>
      <c r="CZ102" s="477"/>
      <c r="DA102" s="477"/>
      <c r="DB102" s="477"/>
      <c r="DC102" s="477"/>
      <c r="DD102" s="477"/>
      <c r="DE102" s="477"/>
      <c r="DF102" s="477"/>
      <c r="DG102" s="477"/>
      <c r="DH102" s="477"/>
      <c r="DI102" s="477"/>
      <c r="DJ102" s="477"/>
      <c r="DK102" s="477"/>
      <c r="DL102" s="477"/>
      <c r="DM102" s="477"/>
      <c r="DN102" s="477"/>
      <c r="DO102" s="477"/>
      <c r="DP102" s="477"/>
      <c r="DQ102" s="477"/>
      <c r="DR102" s="477"/>
      <c r="DS102" s="477"/>
      <c r="DT102" s="477"/>
      <c r="DU102" s="477"/>
      <c r="DV102" s="477"/>
      <c r="DW102" s="477"/>
      <c r="DX102" s="477"/>
      <c r="DY102" s="477"/>
      <c r="DZ102" s="477"/>
      <c r="EA102" s="477"/>
      <c r="EB102" s="477"/>
      <c r="EC102" s="477"/>
      <c r="ED102" s="477"/>
      <c r="EE102" s="477"/>
      <c r="EF102" s="477"/>
      <c r="EG102" s="477"/>
      <c r="EH102" s="477"/>
      <c r="EI102" s="477"/>
      <c r="EJ102" s="477"/>
      <c r="EK102" s="477"/>
      <c r="EL102" s="477"/>
      <c r="EM102" s="477"/>
      <c r="EN102" s="477"/>
      <c r="EO102" s="477"/>
      <c r="EP102" s="477"/>
      <c r="EQ102" s="477"/>
      <c r="ER102" s="477"/>
      <c r="ES102" s="477"/>
      <c r="ET102" s="477"/>
      <c r="EU102" s="477"/>
      <c r="EV102" s="477"/>
      <c r="EW102" s="477"/>
      <c r="EX102" s="477"/>
      <c r="EY102" s="477"/>
      <c r="EZ102" s="477"/>
      <c r="FA102" s="477"/>
      <c r="FB102" s="477"/>
      <c r="FC102" s="477"/>
      <c r="FD102" s="477"/>
      <c r="FE102" s="477"/>
      <c r="FF102" s="477"/>
      <c r="FG102" s="477"/>
      <c r="FH102" s="477"/>
      <c r="FI102" s="477"/>
      <c r="FJ102" s="477"/>
      <c r="FK102" s="477"/>
      <c r="FL102" s="477"/>
      <c r="FM102" s="477"/>
      <c r="FN102" s="477"/>
      <c r="FO102" s="477"/>
      <c r="FP102" s="477"/>
      <c r="FQ102" s="477"/>
      <c r="FR102" s="477"/>
      <c r="FS102" s="477"/>
      <c r="FT102" s="477"/>
      <c r="FU102" s="477"/>
      <c r="FV102" s="477"/>
      <c r="FW102" s="477"/>
      <c r="FX102" s="477"/>
      <c r="FY102" s="477"/>
      <c r="FZ102" s="477"/>
    </row>
    <row r="103" spans="1:182" ht="19.350000000000001" customHeight="1" x14ac:dyDescent="0.25">
      <c r="A103" s="478" t="s">
        <v>374</v>
      </c>
      <c r="B103" s="479" t="s">
        <v>456</v>
      </c>
      <c r="C103" s="480"/>
      <c r="D103" s="480"/>
      <c r="E103" s="480"/>
      <c r="F103" s="480"/>
      <c r="G103" s="481" t="s">
        <v>375</v>
      </c>
      <c r="H103" s="477"/>
      <c r="I103" s="477"/>
      <c r="J103" s="482"/>
      <c r="K103" s="482"/>
      <c r="L103" s="482"/>
      <c r="M103" s="482"/>
      <c r="N103" s="482"/>
      <c r="O103" s="478" t="s">
        <v>374</v>
      </c>
      <c r="P103" s="479" t="s">
        <v>456</v>
      </c>
      <c r="Q103" s="480"/>
      <c r="R103" s="480"/>
      <c r="S103" s="480"/>
      <c r="T103" s="480"/>
      <c r="U103" s="481" t="s">
        <v>375</v>
      </c>
      <c r="V103" s="477"/>
      <c r="W103" s="477"/>
      <c r="X103" s="482"/>
      <c r="Y103" s="482"/>
      <c r="Z103" s="482"/>
      <c r="AA103" s="482"/>
      <c r="AB103" s="482"/>
      <c r="AC103" s="478" t="s">
        <v>374</v>
      </c>
      <c r="AD103" s="479" t="s">
        <v>456</v>
      </c>
      <c r="AE103" s="480"/>
      <c r="AF103" s="480"/>
      <c r="AG103" s="480"/>
      <c r="AH103" s="480"/>
      <c r="AI103" s="481" t="s">
        <v>375</v>
      </c>
      <c r="AJ103" s="477"/>
      <c r="AK103" s="477"/>
      <c r="AL103" s="482"/>
      <c r="AM103" s="482"/>
      <c r="AN103" s="482"/>
      <c r="AO103" s="482"/>
      <c r="AP103" s="482"/>
      <c r="AQ103" s="478" t="s">
        <v>374</v>
      </c>
      <c r="AR103" s="479" t="s">
        <v>456</v>
      </c>
      <c r="AS103" s="480"/>
      <c r="AT103" s="480"/>
      <c r="AU103" s="480"/>
      <c r="AV103" s="480"/>
      <c r="AW103" s="481" t="s">
        <v>375</v>
      </c>
      <c r="AX103" s="477"/>
      <c r="AY103" s="477"/>
      <c r="AZ103" s="482"/>
      <c r="BA103" s="482"/>
      <c r="BB103" s="482"/>
      <c r="BC103" s="482"/>
      <c r="BD103" s="482"/>
      <c r="BE103" s="478" t="s">
        <v>374</v>
      </c>
      <c r="BF103" s="479" t="s">
        <v>456</v>
      </c>
      <c r="BG103" s="480"/>
      <c r="BH103" s="480"/>
      <c r="BI103" s="480"/>
      <c r="BJ103" s="480"/>
      <c r="BK103" s="481" t="s">
        <v>375</v>
      </c>
      <c r="BL103" s="477"/>
      <c r="BM103" s="477"/>
      <c r="BN103" s="482"/>
      <c r="BO103" s="482"/>
      <c r="BP103" s="482"/>
      <c r="BQ103" s="482"/>
      <c r="BR103" s="482"/>
      <c r="BS103" s="478" t="s">
        <v>374</v>
      </c>
      <c r="BT103" s="479" t="s">
        <v>456</v>
      </c>
      <c r="BU103" s="480"/>
      <c r="BV103" s="480"/>
      <c r="BW103" s="480"/>
      <c r="BX103" s="480"/>
      <c r="BY103" s="481" t="s">
        <v>375</v>
      </c>
      <c r="BZ103" s="477"/>
      <c r="CA103" s="477"/>
      <c r="CB103" s="482"/>
      <c r="CC103" s="482"/>
      <c r="CD103" s="482"/>
      <c r="CE103" s="482"/>
      <c r="CF103" s="482"/>
      <c r="CG103" s="478" t="s">
        <v>374</v>
      </c>
      <c r="CH103" s="479" t="s">
        <v>456</v>
      </c>
      <c r="CI103" s="480"/>
      <c r="CJ103" s="480"/>
      <c r="CK103" s="480"/>
      <c r="CL103" s="480"/>
      <c r="CM103" s="481" t="s">
        <v>375</v>
      </c>
      <c r="CN103" s="477"/>
      <c r="CO103" s="477"/>
      <c r="CP103" s="482"/>
      <c r="CQ103" s="482"/>
      <c r="CR103" s="482"/>
      <c r="CS103" s="482"/>
      <c r="CT103" s="482"/>
      <c r="CU103" s="478" t="s">
        <v>374</v>
      </c>
      <c r="CV103" s="479" t="s">
        <v>456</v>
      </c>
      <c r="CW103" s="480"/>
      <c r="CX103" s="480"/>
      <c r="CY103" s="480"/>
      <c r="CZ103" s="480"/>
      <c r="DA103" s="481" t="s">
        <v>375</v>
      </c>
      <c r="DB103" s="477"/>
      <c r="DC103" s="477"/>
      <c r="DD103" s="482"/>
      <c r="DE103" s="482"/>
      <c r="DF103" s="482"/>
      <c r="DG103" s="482"/>
      <c r="DH103" s="482"/>
      <c r="DI103" s="478" t="s">
        <v>374</v>
      </c>
      <c r="DJ103" s="479" t="s">
        <v>456</v>
      </c>
      <c r="DK103" s="480"/>
      <c r="DL103" s="480"/>
      <c r="DM103" s="480"/>
      <c r="DN103" s="480"/>
      <c r="DO103" s="481" t="s">
        <v>375</v>
      </c>
      <c r="DP103" s="477"/>
      <c r="DQ103" s="477"/>
      <c r="DR103" s="482"/>
      <c r="DS103" s="482"/>
      <c r="DT103" s="482"/>
      <c r="DU103" s="482"/>
      <c r="DV103" s="482"/>
      <c r="DW103" s="478" t="s">
        <v>374</v>
      </c>
      <c r="DX103" s="479" t="s">
        <v>456</v>
      </c>
      <c r="DY103" s="480"/>
      <c r="DZ103" s="480"/>
      <c r="EA103" s="480"/>
      <c r="EB103" s="480"/>
      <c r="EC103" s="481" t="s">
        <v>375</v>
      </c>
      <c r="ED103" s="477"/>
      <c r="EE103" s="477"/>
      <c r="EF103" s="482"/>
      <c r="EG103" s="482"/>
      <c r="EH103" s="482"/>
      <c r="EI103" s="482"/>
      <c r="EJ103" s="482"/>
      <c r="EK103" s="478" t="s">
        <v>374</v>
      </c>
      <c r="EL103" s="479" t="s">
        <v>456</v>
      </c>
      <c r="EM103" s="480"/>
      <c r="EN103" s="480"/>
      <c r="EO103" s="480"/>
      <c r="EP103" s="480"/>
      <c r="EQ103" s="481" t="s">
        <v>375</v>
      </c>
      <c r="ER103" s="477"/>
      <c r="ES103" s="477"/>
      <c r="ET103" s="482"/>
      <c r="EU103" s="482"/>
      <c r="EV103" s="482"/>
      <c r="EW103" s="482"/>
      <c r="EX103" s="482"/>
      <c r="EY103" s="478" t="s">
        <v>374</v>
      </c>
      <c r="EZ103" s="479" t="s">
        <v>456</v>
      </c>
      <c r="FA103" s="480"/>
      <c r="FB103" s="480"/>
      <c r="FC103" s="480"/>
      <c r="FD103" s="480"/>
      <c r="FE103" s="481" t="s">
        <v>375</v>
      </c>
      <c r="FF103" s="477"/>
      <c r="FG103" s="477"/>
      <c r="FH103" s="482"/>
      <c r="FI103" s="482"/>
      <c r="FJ103" s="482"/>
      <c r="FK103" s="482"/>
      <c r="FL103" s="482"/>
      <c r="FM103" s="478" t="s">
        <v>374</v>
      </c>
      <c r="FN103" s="479" t="s">
        <v>456</v>
      </c>
      <c r="FO103" s="480"/>
      <c r="FP103" s="480"/>
      <c r="FQ103" s="480"/>
      <c r="FR103" s="480"/>
      <c r="FS103" s="481" t="s">
        <v>375</v>
      </c>
      <c r="FT103" s="477"/>
      <c r="FU103" s="477"/>
      <c r="FV103" s="482"/>
      <c r="FW103" s="482"/>
      <c r="FX103" s="482"/>
      <c r="FY103" s="482"/>
      <c r="FZ103" s="482"/>
    </row>
    <row r="104" spans="1:182" ht="19.350000000000001" customHeight="1" x14ac:dyDescent="0.25">
      <c r="A104" s="481" t="s">
        <v>376</v>
      </c>
      <c r="B104" s="483" t="s">
        <v>457</v>
      </c>
      <c r="C104" s="480"/>
      <c r="D104" s="480"/>
      <c r="E104" s="480"/>
      <c r="F104" s="480"/>
      <c r="G104" s="480"/>
      <c r="H104" s="480"/>
      <c r="I104" s="480"/>
      <c r="J104" s="480"/>
      <c r="K104" s="484"/>
      <c r="L104" s="480"/>
      <c r="M104" s="480"/>
      <c r="N104" s="480"/>
      <c r="O104" s="481" t="s">
        <v>376</v>
      </c>
      <c r="P104" s="483" t="s">
        <v>457</v>
      </c>
      <c r="Q104" s="480"/>
      <c r="R104" s="480"/>
      <c r="S104" s="480"/>
      <c r="T104" s="480"/>
      <c r="U104" s="480"/>
      <c r="V104" s="480"/>
      <c r="W104" s="480"/>
      <c r="X104" s="480"/>
      <c r="Y104" s="484"/>
      <c r="Z104" s="480"/>
      <c r="AA104" s="480"/>
      <c r="AB104" s="480"/>
      <c r="AC104" s="481" t="s">
        <v>376</v>
      </c>
      <c r="AD104" s="483" t="s">
        <v>457</v>
      </c>
      <c r="AE104" s="480"/>
      <c r="AF104" s="480"/>
      <c r="AG104" s="480"/>
      <c r="AH104" s="480"/>
      <c r="AI104" s="480"/>
      <c r="AJ104" s="480"/>
      <c r="AK104" s="480"/>
      <c r="AL104" s="480"/>
      <c r="AM104" s="484"/>
      <c r="AN104" s="480"/>
      <c r="AO104" s="480"/>
      <c r="AP104" s="480"/>
      <c r="AQ104" s="481" t="s">
        <v>376</v>
      </c>
      <c r="AR104" s="483" t="s">
        <v>457</v>
      </c>
      <c r="AS104" s="480"/>
      <c r="AT104" s="480"/>
      <c r="AU104" s="480"/>
      <c r="AV104" s="480"/>
      <c r="AW104" s="480"/>
      <c r="AX104" s="480"/>
      <c r="AY104" s="480"/>
      <c r="AZ104" s="480"/>
      <c r="BA104" s="484"/>
      <c r="BB104" s="480"/>
      <c r="BC104" s="480"/>
      <c r="BD104" s="480"/>
      <c r="BE104" s="481" t="s">
        <v>376</v>
      </c>
      <c r="BF104" s="483" t="s">
        <v>457</v>
      </c>
      <c r="BG104" s="480"/>
      <c r="BH104" s="480"/>
      <c r="BI104" s="480"/>
      <c r="BJ104" s="480"/>
      <c r="BK104" s="480"/>
      <c r="BL104" s="480"/>
      <c r="BM104" s="480"/>
      <c r="BN104" s="480"/>
      <c r="BO104" s="484"/>
      <c r="BP104" s="480"/>
      <c r="BQ104" s="480"/>
      <c r="BR104" s="480"/>
      <c r="BS104" s="481" t="s">
        <v>376</v>
      </c>
      <c r="BT104" s="483" t="s">
        <v>457</v>
      </c>
      <c r="BU104" s="480"/>
      <c r="BV104" s="480"/>
      <c r="BW104" s="480"/>
      <c r="BX104" s="480"/>
      <c r="BY104" s="480"/>
      <c r="BZ104" s="480"/>
      <c r="CA104" s="480"/>
      <c r="CB104" s="480"/>
      <c r="CC104" s="484"/>
      <c r="CD104" s="480"/>
      <c r="CE104" s="480"/>
      <c r="CF104" s="480"/>
      <c r="CG104" s="481" t="s">
        <v>376</v>
      </c>
      <c r="CH104" s="483" t="s">
        <v>457</v>
      </c>
      <c r="CI104" s="480"/>
      <c r="CJ104" s="480"/>
      <c r="CK104" s="480"/>
      <c r="CL104" s="480"/>
      <c r="CM104" s="480"/>
      <c r="CN104" s="480"/>
      <c r="CO104" s="480"/>
      <c r="CP104" s="480"/>
      <c r="CQ104" s="484"/>
      <c r="CR104" s="480"/>
      <c r="CS104" s="480"/>
      <c r="CT104" s="480"/>
      <c r="CU104" s="481" t="s">
        <v>376</v>
      </c>
      <c r="CV104" s="483" t="s">
        <v>457</v>
      </c>
      <c r="CW104" s="480"/>
      <c r="CX104" s="480"/>
      <c r="CY104" s="480"/>
      <c r="CZ104" s="480"/>
      <c r="DA104" s="480"/>
      <c r="DB104" s="480"/>
      <c r="DC104" s="480"/>
      <c r="DD104" s="480"/>
      <c r="DE104" s="484"/>
      <c r="DF104" s="480"/>
      <c r="DG104" s="480"/>
      <c r="DH104" s="480"/>
      <c r="DI104" s="481" t="s">
        <v>376</v>
      </c>
      <c r="DJ104" s="483" t="s">
        <v>457</v>
      </c>
      <c r="DK104" s="480"/>
      <c r="DL104" s="480"/>
      <c r="DM104" s="480"/>
      <c r="DN104" s="480"/>
      <c r="DO104" s="480"/>
      <c r="DP104" s="480"/>
      <c r="DQ104" s="480"/>
      <c r="DR104" s="480"/>
      <c r="DS104" s="484"/>
      <c r="DT104" s="480"/>
      <c r="DU104" s="480"/>
      <c r="DV104" s="480"/>
      <c r="DW104" s="481" t="s">
        <v>376</v>
      </c>
      <c r="DX104" s="483" t="s">
        <v>457</v>
      </c>
      <c r="DY104" s="480"/>
      <c r="DZ104" s="480"/>
      <c r="EA104" s="480"/>
      <c r="EB104" s="480"/>
      <c r="EC104" s="480"/>
      <c r="ED104" s="480"/>
      <c r="EE104" s="480"/>
      <c r="EF104" s="480"/>
      <c r="EG104" s="484"/>
      <c r="EH104" s="480"/>
      <c r="EI104" s="480"/>
      <c r="EJ104" s="480"/>
      <c r="EK104" s="481" t="s">
        <v>376</v>
      </c>
      <c r="EL104" s="483" t="s">
        <v>457</v>
      </c>
      <c r="EM104" s="480"/>
      <c r="EN104" s="480"/>
      <c r="EO104" s="480"/>
      <c r="EP104" s="480"/>
      <c r="EQ104" s="480"/>
      <c r="ER104" s="480"/>
      <c r="ES104" s="480"/>
      <c r="ET104" s="480"/>
      <c r="EU104" s="484"/>
      <c r="EV104" s="480"/>
      <c r="EW104" s="480"/>
      <c r="EX104" s="480"/>
      <c r="EY104" s="481" t="s">
        <v>376</v>
      </c>
      <c r="EZ104" s="483" t="s">
        <v>457</v>
      </c>
      <c r="FA104" s="480"/>
      <c r="FB104" s="480"/>
      <c r="FC104" s="480"/>
      <c r="FD104" s="480"/>
      <c r="FE104" s="480"/>
      <c r="FF104" s="480"/>
      <c r="FG104" s="480"/>
      <c r="FH104" s="480"/>
      <c r="FI104" s="484"/>
      <c r="FJ104" s="480"/>
      <c r="FK104" s="480"/>
      <c r="FL104" s="480"/>
      <c r="FM104" s="481" t="s">
        <v>376</v>
      </c>
      <c r="FN104" s="483" t="s">
        <v>457</v>
      </c>
      <c r="FO104" s="480"/>
      <c r="FP104" s="480"/>
      <c r="FQ104" s="480"/>
      <c r="FR104" s="480"/>
      <c r="FS104" s="480"/>
      <c r="FT104" s="480"/>
      <c r="FU104" s="480"/>
      <c r="FV104" s="480"/>
      <c r="FW104" s="484"/>
      <c r="FX104" s="480"/>
      <c r="FY104" s="480"/>
      <c r="FZ104" s="480"/>
    </row>
    <row r="105" spans="1:182" s="297" customFormat="1" ht="19.350000000000001" customHeight="1" x14ac:dyDescent="0.2">
      <c r="A105" s="485" t="s">
        <v>377</v>
      </c>
      <c r="B105" s="481" t="s">
        <v>378</v>
      </c>
      <c r="C105" s="481"/>
      <c r="D105" s="481"/>
      <c r="E105" s="481"/>
      <c r="F105" s="481"/>
      <c r="G105" s="481"/>
      <c r="H105" s="481"/>
      <c r="I105" s="481"/>
      <c r="J105" s="481"/>
      <c r="K105" s="486"/>
      <c r="L105" s="487" t="s">
        <v>554</v>
      </c>
      <c r="M105" s="481"/>
      <c r="N105" s="481"/>
      <c r="O105" s="485" t="s">
        <v>377</v>
      </c>
      <c r="P105" s="481" t="s">
        <v>378</v>
      </c>
      <c r="Q105" s="481"/>
      <c r="R105" s="481"/>
      <c r="S105" s="481"/>
      <c r="T105" s="481"/>
      <c r="U105" s="481"/>
      <c r="V105" s="481"/>
      <c r="W105" s="481"/>
      <c r="X105" s="481"/>
      <c r="Y105" s="486"/>
      <c r="Z105" s="487" t="s">
        <v>555</v>
      </c>
      <c r="AA105" s="481"/>
      <c r="AB105" s="481"/>
      <c r="AC105" s="485" t="s">
        <v>377</v>
      </c>
      <c r="AD105" s="481" t="s">
        <v>378</v>
      </c>
      <c r="AE105" s="481"/>
      <c r="AF105" s="481"/>
      <c r="AG105" s="481"/>
      <c r="AH105" s="481"/>
      <c r="AI105" s="481"/>
      <c r="AJ105" s="481"/>
      <c r="AK105" s="481"/>
      <c r="AL105" s="481"/>
      <c r="AM105" s="486"/>
      <c r="AN105" s="487" t="s">
        <v>556</v>
      </c>
      <c r="AO105" s="481"/>
      <c r="AP105" s="481"/>
      <c r="AQ105" s="485" t="s">
        <v>377</v>
      </c>
      <c r="AR105" s="481" t="s">
        <v>378</v>
      </c>
      <c r="AS105" s="481"/>
      <c r="AT105" s="481"/>
      <c r="AU105" s="481"/>
      <c r="AV105" s="481"/>
      <c r="AW105" s="481"/>
      <c r="AX105" s="481"/>
      <c r="AY105" s="481"/>
      <c r="AZ105" s="481"/>
      <c r="BA105" s="486"/>
      <c r="BB105" s="487" t="s">
        <v>557</v>
      </c>
      <c r="BC105" s="481"/>
      <c r="BD105" s="481"/>
      <c r="BE105" s="485" t="s">
        <v>377</v>
      </c>
      <c r="BF105" s="481" t="s">
        <v>378</v>
      </c>
      <c r="BG105" s="481"/>
      <c r="BH105" s="481"/>
      <c r="BI105" s="481"/>
      <c r="BJ105" s="481"/>
      <c r="BK105" s="481"/>
      <c r="BL105" s="481"/>
      <c r="BM105" s="481"/>
      <c r="BN105" s="481"/>
      <c r="BO105" s="486"/>
      <c r="BP105" s="487" t="s">
        <v>558</v>
      </c>
      <c r="BQ105" s="481"/>
      <c r="BR105" s="481"/>
      <c r="BS105" s="485" t="s">
        <v>377</v>
      </c>
      <c r="BT105" s="481" t="s">
        <v>378</v>
      </c>
      <c r="BU105" s="481"/>
      <c r="BV105" s="481"/>
      <c r="BW105" s="481"/>
      <c r="BX105" s="481"/>
      <c r="BY105" s="481"/>
      <c r="BZ105" s="481"/>
      <c r="CA105" s="481"/>
      <c r="CB105" s="481"/>
      <c r="CC105" s="486"/>
      <c r="CD105" s="487" t="s">
        <v>559</v>
      </c>
      <c r="CE105" s="481"/>
      <c r="CF105" s="481"/>
      <c r="CG105" s="485" t="s">
        <v>377</v>
      </c>
      <c r="CH105" s="481" t="s">
        <v>378</v>
      </c>
      <c r="CI105" s="481"/>
      <c r="CJ105" s="481"/>
      <c r="CK105" s="481"/>
      <c r="CL105" s="481"/>
      <c r="CM105" s="481"/>
      <c r="CN105" s="481"/>
      <c r="CO105" s="481"/>
      <c r="CP105" s="481"/>
      <c r="CQ105" s="486"/>
      <c r="CR105" s="487" t="s">
        <v>419</v>
      </c>
      <c r="CS105" s="481"/>
      <c r="CT105" s="481"/>
      <c r="CU105" s="485" t="s">
        <v>377</v>
      </c>
      <c r="CV105" s="481" t="s">
        <v>378</v>
      </c>
      <c r="CW105" s="481"/>
      <c r="CX105" s="481"/>
      <c r="CY105" s="481"/>
      <c r="CZ105" s="481"/>
      <c r="DA105" s="481"/>
      <c r="DB105" s="481"/>
      <c r="DC105" s="481"/>
      <c r="DD105" s="481"/>
      <c r="DE105" s="486"/>
      <c r="DF105" s="487" t="s">
        <v>420</v>
      </c>
      <c r="DG105" s="481"/>
      <c r="DH105" s="481"/>
      <c r="DI105" s="485" t="s">
        <v>377</v>
      </c>
      <c r="DJ105" s="481" t="s">
        <v>378</v>
      </c>
      <c r="DK105" s="481"/>
      <c r="DL105" s="481"/>
      <c r="DM105" s="481"/>
      <c r="DN105" s="481"/>
      <c r="DO105" s="481"/>
      <c r="DP105" s="481"/>
      <c r="DQ105" s="481"/>
      <c r="DR105" s="481"/>
      <c r="DS105" s="486"/>
      <c r="DT105" s="487" t="s">
        <v>421</v>
      </c>
      <c r="DU105" s="481"/>
      <c r="DV105" s="481"/>
      <c r="DW105" s="485" t="s">
        <v>377</v>
      </c>
      <c r="DX105" s="481" t="s">
        <v>378</v>
      </c>
      <c r="DY105" s="481"/>
      <c r="DZ105" s="481"/>
      <c r="EA105" s="481"/>
      <c r="EB105" s="481"/>
      <c r="EC105" s="481"/>
      <c r="ED105" s="481"/>
      <c r="EE105" s="481"/>
      <c r="EF105" s="481"/>
      <c r="EG105" s="486"/>
      <c r="EH105" s="487" t="s">
        <v>422</v>
      </c>
      <c r="EI105" s="481"/>
      <c r="EJ105" s="481"/>
      <c r="EK105" s="485" t="s">
        <v>377</v>
      </c>
      <c r="EL105" s="481" t="s">
        <v>378</v>
      </c>
      <c r="EM105" s="481"/>
      <c r="EN105" s="481"/>
      <c r="EO105" s="481"/>
      <c r="EP105" s="481"/>
      <c r="EQ105" s="481"/>
      <c r="ER105" s="481"/>
      <c r="ES105" s="481"/>
      <c r="ET105" s="481"/>
      <c r="EU105" s="486"/>
      <c r="EV105" s="487" t="s">
        <v>423</v>
      </c>
      <c r="EW105" s="481"/>
      <c r="EX105" s="481"/>
      <c r="EY105" s="485" t="s">
        <v>377</v>
      </c>
      <c r="EZ105" s="481" t="s">
        <v>378</v>
      </c>
      <c r="FA105" s="481"/>
      <c r="FB105" s="481"/>
      <c r="FC105" s="481"/>
      <c r="FD105" s="481"/>
      <c r="FE105" s="481"/>
      <c r="FF105" s="481"/>
      <c r="FG105" s="481"/>
      <c r="FH105" s="481"/>
      <c r="FI105" s="486"/>
      <c r="FJ105" s="487" t="s">
        <v>424</v>
      </c>
      <c r="FK105" s="481"/>
      <c r="FL105" s="481"/>
      <c r="FM105" s="485" t="s">
        <v>377</v>
      </c>
      <c r="FN105" s="481" t="s">
        <v>378</v>
      </c>
      <c r="FO105" s="481"/>
      <c r="FP105" s="481"/>
      <c r="FQ105" s="481"/>
      <c r="FR105" s="481"/>
      <c r="FS105" s="481"/>
      <c r="FT105" s="481"/>
      <c r="FU105" s="481"/>
      <c r="FV105" s="481"/>
      <c r="FW105" s="486"/>
      <c r="FX105" s="487" t="s">
        <v>425</v>
      </c>
      <c r="FY105" s="481"/>
      <c r="FZ105" s="481"/>
    </row>
    <row r="106" spans="1:182" ht="9" customHeight="1" x14ac:dyDescent="0.25">
      <c r="A106" s="477"/>
      <c r="B106" s="477"/>
      <c r="C106" s="477"/>
      <c r="D106" s="477"/>
      <c r="E106" s="477"/>
      <c r="F106" s="477"/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7"/>
      <c r="R106" s="477"/>
      <c r="S106" s="477"/>
      <c r="T106" s="477"/>
      <c r="U106" s="477"/>
      <c r="V106" s="477"/>
      <c r="W106" s="477"/>
      <c r="X106" s="477"/>
      <c r="Y106" s="477"/>
      <c r="Z106" s="477"/>
      <c r="AA106" s="477"/>
      <c r="AB106" s="477"/>
      <c r="AC106" s="477"/>
      <c r="AD106" s="477"/>
      <c r="AE106" s="477"/>
      <c r="AF106" s="477"/>
      <c r="AG106" s="477"/>
      <c r="AH106" s="477"/>
      <c r="AI106" s="477"/>
      <c r="AJ106" s="477"/>
      <c r="AK106" s="477"/>
      <c r="AL106" s="477"/>
      <c r="AM106" s="477"/>
      <c r="AN106" s="477"/>
      <c r="AO106" s="477"/>
      <c r="AP106" s="477"/>
      <c r="AQ106" s="477"/>
      <c r="AR106" s="477"/>
      <c r="AS106" s="477"/>
      <c r="AT106" s="477"/>
      <c r="AU106" s="477"/>
      <c r="AV106" s="477"/>
      <c r="AW106" s="477"/>
      <c r="AX106" s="477"/>
      <c r="AY106" s="477"/>
      <c r="AZ106" s="477"/>
      <c r="BA106" s="477"/>
      <c r="BB106" s="477"/>
      <c r="BC106" s="477"/>
      <c r="BD106" s="477"/>
      <c r="BE106" s="477"/>
      <c r="BF106" s="477"/>
      <c r="BG106" s="477"/>
      <c r="BH106" s="477"/>
      <c r="BI106" s="477"/>
      <c r="BJ106" s="477"/>
      <c r="BK106" s="477"/>
      <c r="BL106" s="477"/>
      <c r="BM106" s="477"/>
      <c r="BN106" s="477"/>
      <c r="BO106" s="477"/>
      <c r="BP106" s="477"/>
      <c r="BQ106" s="477"/>
      <c r="BR106" s="477"/>
      <c r="BS106" s="477"/>
      <c r="BT106" s="477"/>
      <c r="BU106" s="477"/>
      <c r="BV106" s="477"/>
      <c r="BW106" s="477"/>
      <c r="BX106" s="477"/>
      <c r="BY106" s="477"/>
      <c r="BZ106" s="477"/>
      <c r="CA106" s="477"/>
      <c r="CB106" s="477"/>
      <c r="CC106" s="477"/>
      <c r="CD106" s="477"/>
      <c r="CE106" s="477"/>
      <c r="CF106" s="477"/>
      <c r="CG106" s="477"/>
      <c r="CH106" s="477"/>
      <c r="CI106" s="477"/>
      <c r="CJ106" s="477"/>
      <c r="CK106" s="477"/>
      <c r="CL106" s="477"/>
      <c r="CM106" s="477"/>
      <c r="CN106" s="477"/>
      <c r="CO106" s="477"/>
      <c r="CP106" s="477"/>
      <c r="CQ106" s="477"/>
      <c r="CR106" s="477"/>
      <c r="CS106" s="477"/>
      <c r="CT106" s="477"/>
      <c r="CU106" s="477"/>
      <c r="CV106" s="477"/>
      <c r="CW106" s="477"/>
      <c r="CX106" s="477"/>
      <c r="CY106" s="477"/>
      <c r="CZ106" s="477"/>
      <c r="DA106" s="477"/>
      <c r="DB106" s="477"/>
      <c r="DC106" s="477"/>
      <c r="DD106" s="477"/>
      <c r="DE106" s="477"/>
      <c r="DF106" s="477"/>
      <c r="DG106" s="477"/>
      <c r="DH106" s="477"/>
      <c r="DI106" s="477"/>
      <c r="DJ106" s="477"/>
      <c r="DK106" s="477"/>
      <c r="DL106" s="477"/>
      <c r="DM106" s="477"/>
      <c r="DN106" s="477"/>
      <c r="DO106" s="477"/>
      <c r="DP106" s="477"/>
      <c r="DQ106" s="477"/>
      <c r="DR106" s="477"/>
      <c r="DS106" s="477"/>
      <c r="DT106" s="477"/>
      <c r="DU106" s="477"/>
      <c r="DV106" s="477"/>
      <c r="DW106" s="477"/>
      <c r="DX106" s="477"/>
      <c r="DY106" s="477"/>
      <c r="DZ106" s="477"/>
      <c r="EA106" s="477"/>
      <c r="EB106" s="477"/>
      <c r="EC106" s="477"/>
      <c r="ED106" s="477"/>
      <c r="EE106" s="477"/>
      <c r="EF106" s="477"/>
      <c r="EG106" s="477"/>
      <c r="EH106" s="477"/>
      <c r="EI106" s="477"/>
      <c r="EJ106" s="477"/>
      <c r="EK106" s="477"/>
      <c r="EL106" s="477"/>
      <c r="EM106" s="477"/>
      <c r="EN106" s="477"/>
      <c r="EO106" s="477"/>
      <c r="EP106" s="477"/>
      <c r="EQ106" s="477"/>
      <c r="ER106" s="477"/>
      <c r="ES106" s="477"/>
      <c r="ET106" s="477"/>
      <c r="EU106" s="477"/>
      <c r="EV106" s="477"/>
      <c r="EW106" s="477"/>
      <c r="EX106" s="477"/>
      <c r="EY106" s="477"/>
      <c r="EZ106" s="477"/>
      <c r="FA106" s="477"/>
      <c r="FB106" s="477"/>
      <c r="FC106" s="477"/>
      <c r="FD106" s="477"/>
      <c r="FE106" s="477"/>
      <c r="FF106" s="477"/>
      <c r="FG106" s="477"/>
      <c r="FH106" s="477"/>
      <c r="FI106" s="477"/>
      <c r="FJ106" s="477"/>
      <c r="FK106" s="477"/>
      <c r="FL106" s="477"/>
      <c r="FM106" s="477"/>
      <c r="FN106" s="477"/>
      <c r="FO106" s="477"/>
      <c r="FP106" s="477"/>
      <c r="FQ106" s="477"/>
      <c r="FR106" s="477"/>
      <c r="FS106" s="477"/>
      <c r="FT106" s="477"/>
      <c r="FU106" s="477"/>
      <c r="FV106" s="477"/>
      <c r="FW106" s="477"/>
      <c r="FX106" s="477"/>
      <c r="FY106" s="477"/>
      <c r="FZ106" s="477"/>
    </row>
    <row r="107" spans="1:182" s="488" customFormat="1" ht="19.350000000000001" customHeight="1" x14ac:dyDescent="0.2">
      <c r="A107" s="1058" t="s">
        <v>386</v>
      </c>
      <c r="B107" s="1056"/>
      <c r="C107" s="1056" t="str">
        <f>C43</f>
        <v>EQUI 4</v>
      </c>
      <c r="D107" s="1056"/>
      <c r="E107" s="1056"/>
      <c r="F107" s="1056"/>
      <c r="G107" s="1056" t="str">
        <f>G43</f>
        <v>EQUI 20</v>
      </c>
      <c r="H107" s="1056"/>
      <c r="I107" s="1056"/>
      <c r="J107" s="1056"/>
      <c r="K107" s="1056" t="str">
        <f>K43</f>
        <v>EQUI 21</v>
      </c>
      <c r="L107" s="1056"/>
      <c r="M107" s="1056"/>
      <c r="N107" s="1057"/>
      <c r="O107" s="1058" t="s">
        <v>386</v>
      </c>
      <c r="P107" s="1056"/>
      <c r="Q107" s="1056" t="str">
        <f>Q43</f>
        <v>EQUI 5</v>
      </c>
      <c r="R107" s="1056"/>
      <c r="S107" s="1056"/>
      <c r="T107" s="1056"/>
      <c r="U107" s="1056" t="str">
        <f>U43</f>
        <v>EQUI 1</v>
      </c>
      <c r="V107" s="1056"/>
      <c r="W107" s="1056"/>
      <c r="X107" s="1056"/>
      <c r="Y107" s="1056" t="str">
        <f>Y43</f>
        <v>EQUI 2</v>
      </c>
      <c r="Z107" s="1056"/>
      <c r="AA107" s="1056"/>
      <c r="AB107" s="1057"/>
      <c r="AC107" s="1058" t="s">
        <v>386</v>
      </c>
      <c r="AD107" s="1056"/>
      <c r="AE107" s="1056" t="str">
        <f>AE43</f>
        <v>EQUI 3</v>
      </c>
      <c r="AF107" s="1056"/>
      <c r="AG107" s="1056"/>
      <c r="AH107" s="1056"/>
      <c r="AI107" s="1056" t="str">
        <f>AI43</f>
        <v>EQUI 16</v>
      </c>
      <c r="AJ107" s="1056"/>
      <c r="AK107" s="1056"/>
      <c r="AL107" s="1056"/>
      <c r="AM107" s="1057" t="str">
        <f>AM43</f>
        <v>EQUI 17</v>
      </c>
      <c r="AN107" s="1059"/>
      <c r="AO107" s="1059"/>
      <c r="AP107" s="1059"/>
      <c r="AQ107" s="1058" t="s">
        <v>386</v>
      </c>
      <c r="AR107" s="1056"/>
      <c r="AS107" s="1057" t="str">
        <f>AS43</f>
        <v>EQUI 18</v>
      </c>
      <c r="AT107" s="1059"/>
      <c r="AU107" s="1059"/>
      <c r="AV107" s="1058"/>
      <c r="AW107" s="1057" t="str">
        <f>AW43</f>
        <v>EQUI 66</v>
      </c>
      <c r="AX107" s="1059"/>
      <c r="AY107" s="1059"/>
      <c r="AZ107" s="1058"/>
      <c r="BA107" s="1057" t="str">
        <f>BA43</f>
        <v>EQUI 8</v>
      </c>
      <c r="BB107" s="1059"/>
      <c r="BC107" s="1059"/>
      <c r="BD107" s="1059"/>
      <c r="BE107" s="1058" t="s">
        <v>386</v>
      </c>
      <c r="BF107" s="1056"/>
      <c r="BG107" s="1057" t="str">
        <f>BG43</f>
        <v>EQUI 9</v>
      </c>
      <c r="BH107" s="1059"/>
      <c r="BI107" s="1059"/>
      <c r="BJ107" s="1058"/>
      <c r="BK107" s="1057" t="str">
        <f>BK43</f>
        <v>EQUI 10</v>
      </c>
      <c r="BL107" s="1059"/>
      <c r="BM107" s="1059"/>
      <c r="BN107" s="1058"/>
      <c r="BO107" s="1057" t="str">
        <f>BO43</f>
        <v>FS001</v>
      </c>
      <c r="BP107" s="1059"/>
      <c r="BQ107" s="1059"/>
      <c r="BR107" s="1059"/>
      <c r="BS107" s="1058" t="s">
        <v>386</v>
      </c>
      <c r="BT107" s="1056"/>
      <c r="BU107" s="1057" t="str">
        <f>BU43</f>
        <v>FS002</v>
      </c>
      <c r="BV107" s="1059"/>
      <c r="BW107" s="1059"/>
      <c r="BX107" s="1058"/>
      <c r="BY107" s="1060">
        <f>BY43</f>
        <v>0</v>
      </c>
      <c r="BZ107" s="1061"/>
      <c r="CA107" s="1061"/>
      <c r="CB107" s="1062"/>
      <c r="CC107" s="1060">
        <f>CC43</f>
        <v>0</v>
      </c>
      <c r="CD107" s="1061"/>
      <c r="CE107" s="1061"/>
      <c r="CF107" s="1061"/>
      <c r="CG107" s="1058" t="s">
        <v>386</v>
      </c>
      <c r="CH107" s="1056"/>
      <c r="CI107" s="1057">
        <f>CI43</f>
        <v>0</v>
      </c>
      <c r="CJ107" s="1059"/>
      <c r="CK107" s="1059"/>
      <c r="CL107" s="1058"/>
      <c r="CM107" s="1057">
        <f>CM43</f>
        <v>0</v>
      </c>
      <c r="CN107" s="1059"/>
      <c r="CO107" s="1059"/>
      <c r="CP107" s="1058"/>
      <c r="CQ107" s="1057">
        <f>CQ43</f>
        <v>0</v>
      </c>
      <c r="CR107" s="1059"/>
      <c r="CS107" s="1059"/>
      <c r="CT107" s="1059"/>
      <c r="CU107" s="1058" t="s">
        <v>386</v>
      </c>
      <c r="CV107" s="1056"/>
      <c r="CW107" s="1057">
        <f>CW43</f>
        <v>0</v>
      </c>
      <c r="CX107" s="1059"/>
      <c r="CY107" s="1059"/>
      <c r="CZ107" s="1058"/>
      <c r="DA107" s="1057">
        <f>DA43</f>
        <v>0</v>
      </c>
      <c r="DB107" s="1059"/>
      <c r="DC107" s="1059"/>
      <c r="DD107" s="1058"/>
      <c r="DE107" s="1057" t="s">
        <v>387</v>
      </c>
      <c r="DF107" s="1059"/>
      <c r="DG107" s="1059"/>
      <c r="DH107" s="1059"/>
      <c r="DI107" s="1058" t="s">
        <v>386</v>
      </c>
      <c r="DJ107" s="1056"/>
      <c r="DK107" s="1057" t="s">
        <v>388</v>
      </c>
      <c r="DL107" s="1059"/>
      <c r="DM107" s="1059"/>
      <c r="DN107" s="1058"/>
      <c r="DO107" s="1056">
        <f>DO43</f>
        <v>0</v>
      </c>
      <c r="DP107" s="1056"/>
      <c r="DQ107" s="1056"/>
      <c r="DR107" s="1056"/>
      <c r="DS107" s="1056">
        <f>DS43</f>
        <v>0</v>
      </c>
      <c r="DT107" s="1056"/>
      <c r="DU107" s="1056"/>
      <c r="DV107" s="1057"/>
      <c r="DW107" s="1058" t="s">
        <v>386</v>
      </c>
      <c r="DX107" s="1056"/>
      <c r="DY107" s="1056">
        <f>DY43</f>
        <v>0</v>
      </c>
      <c r="DZ107" s="1056"/>
      <c r="EA107" s="1056"/>
      <c r="EB107" s="1056"/>
      <c r="EC107" s="1056">
        <f>EC43</f>
        <v>0</v>
      </c>
      <c r="ED107" s="1056"/>
      <c r="EE107" s="1056"/>
      <c r="EF107" s="1056"/>
      <c r="EG107" s="1056">
        <f>EG43</f>
        <v>0</v>
      </c>
      <c r="EH107" s="1056"/>
      <c r="EI107" s="1056"/>
      <c r="EJ107" s="1057"/>
      <c r="EK107" s="1058" t="s">
        <v>386</v>
      </c>
      <c r="EL107" s="1056"/>
      <c r="EM107" s="1056">
        <f>EM43</f>
        <v>0</v>
      </c>
      <c r="EN107" s="1056"/>
      <c r="EO107" s="1056"/>
      <c r="EP107" s="1056"/>
      <c r="EQ107" s="1056">
        <f>EQ43</f>
        <v>0</v>
      </c>
      <c r="ER107" s="1056"/>
      <c r="ES107" s="1056"/>
      <c r="ET107" s="1056"/>
      <c r="EU107" s="1056">
        <f>EU43</f>
        <v>0</v>
      </c>
      <c r="EV107" s="1056"/>
      <c r="EW107" s="1056"/>
      <c r="EX107" s="1057"/>
      <c r="EY107" s="1058" t="s">
        <v>386</v>
      </c>
      <c r="EZ107" s="1056"/>
      <c r="FA107" s="1056">
        <f>FA43</f>
        <v>0</v>
      </c>
      <c r="FB107" s="1056"/>
      <c r="FC107" s="1056"/>
      <c r="FD107" s="1056"/>
      <c r="FE107" s="1056">
        <f>FE43</f>
        <v>0</v>
      </c>
      <c r="FF107" s="1056"/>
      <c r="FG107" s="1056"/>
      <c r="FH107" s="1056"/>
      <c r="FI107" s="1056">
        <f>FI43</f>
        <v>0</v>
      </c>
      <c r="FJ107" s="1056"/>
      <c r="FK107" s="1056"/>
      <c r="FL107" s="1057"/>
      <c r="FM107" s="1058" t="s">
        <v>386</v>
      </c>
      <c r="FN107" s="1056"/>
      <c r="FO107" s="1056">
        <f>FO43</f>
        <v>0</v>
      </c>
      <c r="FP107" s="1056"/>
      <c r="FQ107" s="1056"/>
      <c r="FR107" s="1056"/>
      <c r="FS107" s="1056"/>
      <c r="FT107" s="1056"/>
      <c r="FU107" s="1056"/>
      <c r="FV107" s="1056"/>
      <c r="FW107" s="1056"/>
      <c r="FX107" s="1056"/>
      <c r="FY107" s="1056"/>
      <c r="FZ107" s="1057"/>
    </row>
    <row r="108" spans="1:182" s="488" customFormat="1" ht="19.350000000000001" customHeight="1" x14ac:dyDescent="0.2">
      <c r="A108" s="1054" t="s">
        <v>390</v>
      </c>
      <c r="B108" s="1052"/>
      <c r="C108" s="1052"/>
      <c r="D108" s="1052"/>
      <c r="E108" s="1052"/>
      <c r="F108" s="1052"/>
      <c r="G108" s="1052"/>
      <c r="H108" s="1052"/>
      <c r="I108" s="1052"/>
      <c r="J108" s="1052"/>
      <c r="K108" s="1052"/>
      <c r="L108" s="1052"/>
      <c r="M108" s="1052"/>
      <c r="N108" s="1053"/>
      <c r="O108" s="1054" t="s">
        <v>390</v>
      </c>
      <c r="P108" s="1052"/>
      <c r="Q108" s="1052"/>
      <c r="R108" s="1052"/>
      <c r="S108" s="1052"/>
      <c r="T108" s="1052"/>
      <c r="U108" s="1052"/>
      <c r="V108" s="1052"/>
      <c r="W108" s="1052"/>
      <c r="X108" s="1052"/>
      <c r="Y108" s="1052"/>
      <c r="Z108" s="1052"/>
      <c r="AA108" s="1052"/>
      <c r="AB108" s="1053"/>
      <c r="AC108" s="1054" t="s">
        <v>390</v>
      </c>
      <c r="AD108" s="1052"/>
      <c r="AE108" s="1052"/>
      <c r="AF108" s="1052"/>
      <c r="AG108" s="1052"/>
      <c r="AH108" s="1052"/>
      <c r="AI108" s="1052"/>
      <c r="AJ108" s="1052"/>
      <c r="AK108" s="1052"/>
      <c r="AL108" s="1052"/>
      <c r="AM108" s="1053"/>
      <c r="AN108" s="1055"/>
      <c r="AO108" s="1055"/>
      <c r="AP108" s="1055"/>
      <c r="AQ108" s="1054" t="s">
        <v>390</v>
      </c>
      <c r="AR108" s="1052"/>
      <c r="AS108" s="1053"/>
      <c r="AT108" s="1055"/>
      <c r="AU108" s="1055"/>
      <c r="AV108" s="1054"/>
      <c r="AW108" s="1053"/>
      <c r="AX108" s="1055"/>
      <c r="AY108" s="1055"/>
      <c r="AZ108" s="1054"/>
      <c r="BA108" s="1053"/>
      <c r="BB108" s="1055"/>
      <c r="BC108" s="1055"/>
      <c r="BD108" s="1055"/>
      <c r="BE108" s="1054" t="s">
        <v>390</v>
      </c>
      <c r="BF108" s="1052"/>
      <c r="BG108" s="1052"/>
      <c r="BH108" s="1052"/>
      <c r="BI108" s="1052"/>
      <c r="BJ108" s="1052"/>
      <c r="BK108" s="1052"/>
      <c r="BL108" s="1052"/>
      <c r="BM108" s="1052"/>
      <c r="BN108" s="1052"/>
      <c r="BO108" s="1052"/>
      <c r="BP108" s="1052"/>
      <c r="BQ108" s="1052"/>
      <c r="BR108" s="1053"/>
      <c r="BS108" s="1054" t="s">
        <v>390</v>
      </c>
      <c r="BT108" s="1052"/>
      <c r="BU108" s="1052"/>
      <c r="BV108" s="1052"/>
      <c r="BW108" s="1052"/>
      <c r="BX108" s="1052"/>
      <c r="BY108" s="1052"/>
      <c r="BZ108" s="1052"/>
      <c r="CA108" s="1052"/>
      <c r="CB108" s="1052"/>
      <c r="CC108" s="1052"/>
      <c r="CD108" s="1052"/>
      <c r="CE108" s="1052"/>
      <c r="CF108" s="1053"/>
      <c r="CG108" s="1054" t="s">
        <v>390</v>
      </c>
      <c r="CH108" s="1052"/>
      <c r="CI108" s="1052"/>
      <c r="CJ108" s="1052"/>
      <c r="CK108" s="1052"/>
      <c r="CL108" s="1052"/>
      <c r="CM108" s="1052"/>
      <c r="CN108" s="1052"/>
      <c r="CO108" s="1052"/>
      <c r="CP108" s="1052"/>
      <c r="CQ108" s="1052"/>
      <c r="CR108" s="1052"/>
      <c r="CS108" s="1052"/>
      <c r="CT108" s="1053"/>
      <c r="CU108" s="1054" t="s">
        <v>390</v>
      </c>
      <c r="CV108" s="1052"/>
      <c r="CW108" s="1052"/>
      <c r="CX108" s="1052"/>
      <c r="CY108" s="1052"/>
      <c r="CZ108" s="1052"/>
      <c r="DA108" s="1052"/>
      <c r="DB108" s="1052"/>
      <c r="DC108" s="1052"/>
      <c r="DD108" s="1052"/>
      <c r="DE108" s="1052"/>
      <c r="DF108" s="1052"/>
      <c r="DG108" s="1052"/>
      <c r="DH108" s="1053"/>
      <c r="DI108" s="1054" t="s">
        <v>390</v>
      </c>
      <c r="DJ108" s="1052"/>
      <c r="DK108" s="1052"/>
      <c r="DL108" s="1052"/>
      <c r="DM108" s="1052"/>
      <c r="DN108" s="1052"/>
      <c r="DO108" s="1052"/>
      <c r="DP108" s="1052"/>
      <c r="DQ108" s="1052"/>
      <c r="DR108" s="1052"/>
      <c r="DS108" s="1052"/>
      <c r="DT108" s="1052"/>
      <c r="DU108" s="1052"/>
      <c r="DV108" s="1053"/>
      <c r="DW108" s="1054" t="s">
        <v>390</v>
      </c>
      <c r="DX108" s="1052"/>
      <c r="DY108" s="1052"/>
      <c r="DZ108" s="1052"/>
      <c r="EA108" s="1052"/>
      <c r="EB108" s="1052"/>
      <c r="EC108" s="1052"/>
      <c r="ED108" s="1052"/>
      <c r="EE108" s="1052"/>
      <c r="EF108" s="1052"/>
      <c r="EG108" s="1052"/>
      <c r="EH108" s="1052"/>
      <c r="EI108" s="1052"/>
      <c r="EJ108" s="1053"/>
      <c r="EK108" s="1054" t="s">
        <v>390</v>
      </c>
      <c r="EL108" s="1052"/>
      <c r="EM108" s="1052"/>
      <c r="EN108" s="1052"/>
      <c r="EO108" s="1052"/>
      <c r="EP108" s="1052"/>
      <c r="EQ108" s="1052"/>
      <c r="ER108" s="1052"/>
      <c r="ES108" s="1052"/>
      <c r="ET108" s="1052"/>
      <c r="EU108" s="1052"/>
      <c r="EV108" s="1052"/>
      <c r="EW108" s="1052"/>
      <c r="EX108" s="1053"/>
      <c r="EY108" s="1054" t="s">
        <v>390</v>
      </c>
      <c r="EZ108" s="1052"/>
      <c r="FA108" s="1052"/>
      <c r="FB108" s="1052"/>
      <c r="FC108" s="1052"/>
      <c r="FD108" s="1052"/>
      <c r="FE108" s="1052"/>
      <c r="FF108" s="1052"/>
      <c r="FG108" s="1052"/>
      <c r="FH108" s="1052"/>
      <c r="FI108" s="1052"/>
      <c r="FJ108" s="1052"/>
      <c r="FK108" s="1052"/>
      <c r="FL108" s="1053"/>
      <c r="FM108" s="1054" t="s">
        <v>390</v>
      </c>
      <c r="FN108" s="1052"/>
      <c r="FO108" s="1052"/>
      <c r="FP108" s="1052"/>
      <c r="FQ108" s="1052"/>
      <c r="FR108" s="1052"/>
      <c r="FS108" s="1052"/>
      <c r="FT108" s="1052"/>
      <c r="FU108" s="1052"/>
      <c r="FV108" s="1052"/>
      <c r="FW108" s="1052"/>
      <c r="FX108" s="1052"/>
      <c r="FY108" s="1052"/>
      <c r="FZ108" s="1053"/>
    </row>
    <row r="109" spans="1:182" ht="19.350000000000001" customHeight="1" x14ac:dyDescent="0.2">
      <c r="A109" s="489" t="s">
        <v>391</v>
      </c>
      <c r="B109" s="490" t="s">
        <v>392</v>
      </c>
      <c r="C109" s="1044" t="s">
        <v>393</v>
      </c>
      <c r="D109" s="1045"/>
      <c r="E109" s="1046"/>
      <c r="F109" s="491" t="s">
        <v>394</v>
      </c>
      <c r="G109" s="1044" t="s">
        <v>393</v>
      </c>
      <c r="H109" s="1045"/>
      <c r="I109" s="1046"/>
      <c r="J109" s="492" t="s">
        <v>394</v>
      </c>
      <c r="K109" s="1044" t="s">
        <v>393</v>
      </c>
      <c r="L109" s="1045"/>
      <c r="M109" s="1046"/>
      <c r="N109" s="493" t="s">
        <v>394</v>
      </c>
      <c r="O109" s="489" t="s">
        <v>391</v>
      </c>
      <c r="P109" s="490" t="s">
        <v>392</v>
      </c>
      <c r="Q109" s="1044" t="s">
        <v>393</v>
      </c>
      <c r="R109" s="1045"/>
      <c r="S109" s="1046"/>
      <c r="T109" s="492" t="s">
        <v>394</v>
      </c>
      <c r="U109" s="1044" t="s">
        <v>393</v>
      </c>
      <c r="V109" s="1045"/>
      <c r="W109" s="1046"/>
      <c r="X109" s="492" t="s">
        <v>394</v>
      </c>
      <c r="Y109" s="1044" t="s">
        <v>393</v>
      </c>
      <c r="Z109" s="1045"/>
      <c r="AA109" s="1046"/>
      <c r="AB109" s="491" t="s">
        <v>394</v>
      </c>
      <c r="AC109" s="489" t="s">
        <v>391</v>
      </c>
      <c r="AD109" s="490" t="s">
        <v>392</v>
      </c>
      <c r="AE109" s="1049" t="s">
        <v>393</v>
      </c>
      <c r="AF109" s="1050"/>
      <c r="AG109" s="1051"/>
      <c r="AH109" s="491" t="s">
        <v>394</v>
      </c>
      <c r="AI109" s="1044" t="s">
        <v>393</v>
      </c>
      <c r="AJ109" s="1045"/>
      <c r="AK109" s="1046"/>
      <c r="AL109" s="491" t="s">
        <v>394</v>
      </c>
      <c r="AM109" s="1044" t="s">
        <v>393</v>
      </c>
      <c r="AN109" s="1045"/>
      <c r="AO109" s="1046"/>
      <c r="AP109" s="491" t="s">
        <v>394</v>
      </c>
      <c r="AQ109" s="489" t="s">
        <v>391</v>
      </c>
      <c r="AR109" s="490" t="s">
        <v>392</v>
      </c>
      <c r="AS109" s="1044" t="s">
        <v>393</v>
      </c>
      <c r="AT109" s="1045"/>
      <c r="AU109" s="1046"/>
      <c r="AV109" s="491" t="s">
        <v>394</v>
      </c>
      <c r="AW109" s="1044" t="s">
        <v>393</v>
      </c>
      <c r="AX109" s="1045"/>
      <c r="AY109" s="1046"/>
      <c r="AZ109" s="491" t="s">
        <v>394</v>
      </c>
      <c r="BA109" s="1044" t="s">
        <v>393</v>
      </c>
      <c r="BB109" s="1045"/>
      <c r="BC109" s="1046"/>
      <c r="BD109" s="491" t="s">
        <v>394</v>
      </c>
      <c r="BE109" s="489" t="s">
        <v>391</v>
      </c>
      <c r="BF109" s="490" t="s">
        <v>392</v>
      </c>
      <c r="BG109" s="1044" t="s">
        <v>393</v>
      </c>
      <c r="BH109" s="1045"/>
      <c r="BI109" s="1046"/>
      <c r="BJ109" s="491" t="s">
        <v>394</v>
      </c>
      <c r="BK109" s="1044" t="s">
        <v>393</v>
      </c>
      <c r="BL109" s="1045"/>
      <c r="BM109" s="1046"/>
      <c r="BN109" s="491" t="s">
        <v>394</v>
      </c>
      <c r="BO109" s="1044" t="s">
        <v>393</v>
      </c>
      <c r="BP109" s="1045"/>
      <c r="BQ109" s="1046"/>
      <c r="BR109" s="493" t="s">
        <v>394</v>
      </c>
      <c r="BS109" s="489" t="s">
        <v>391</v>
      </c>
      <c r="BT109" s="490" t="s">
        <v>392</v>
      </c>
      <c r="BU109" s="1044" t="s">
        <v>393</v>
      </c>
      <c r="BV109" s="1045"/>
      <c r="BW109" s="1046"/>
      <c r="BX109" s="491" t="s">
        <v>394</v>
      </c>
      <c r="BY109" s="1049" t="s">
        <v>393</v>
      </c>
      <c r="BZ109" s="1050"/>
      <c r="CA109" s="1051"/>
      <c r="CB109" s="492" t="s">
        <v>394</v>
      </c>
      <c r="CC109" s="1047" t="s">
        <v>393</v>
      </c>
      <c r="CD109" s="1047"/>
      <c r="CE109" s="1048"/>
      <c r="CF109" s="491" t="s">
        <v>394</v>
      </c>
      <c r="CG109" s="489" t="s">
        <v>391</v>
      </c>
      <c r="CH109" s="490" t="s">
        <v>392</v>
      </c>
      <c r="CI109" s="1044" t="s">
        <v>393</v>
      </c>
      <c r="CJ109" s="1045"/>
      <c r="CK109" s="1046"/>
      <c r="CL109" s="491" t="s">
        <v>394</v>
      </c>
      <c r="CM109" s="1044" t="s">
        <v>393</v>
      </c>
      <c r="CN109" s="1045"/>
      <c r="CO109" s="1046"/>
      <c r="CP109" s="494" t="s">
        <v>394</v>
      </c>
      <c r="CQ109" s="1049" t="s">
        <v>393</v>
      </c>
      <c r="CR109" s="1050"/>
      <c r="CS109" s="1051"/>
      <c r="CT109" s="493" t="s">
        <v>394</v>
      </c>
      <c r="CU109" s="489" t="s">
        <v>391</v>
      </c>
      <c r="CV109" s="490" t="s">
        <v>392</v>
      </c>
      <c r="CW109" s="1047" t="s">
        <v>393</v>
      </c>
      <c r="CX109" s="1047"/>
      <c r="CY109" s="1048"/>
      <c r="CZ109" s="491" t="s">
        <v>394</v>
      </c>
      <c r="DA109" s="1044" t="s">
        <v>393</v>
      </c>
      <c r="DB109" s="1045"/>
      <c r="DC109" s="1046"/>
      <c r="DD109" s="491" t="s">
        <v>394</v>
      </c>
      <c r="DE109" s="1049" t="s">
        <v>393</v>
      </c>
      <c r="DF109" s="1050"/>
      <c r="DG109" s="1051"/>
      <c r="DH109" s="493" t="s">
        <v>394</v>
      </c>
      <c r="DI109" s="489" t="s">
        <v>391</v>
      </c>
      <c r="DJ109" s="490" t="s">
        <v>392</v>
      </c>
      <c r="DK109" s="1049" t="s">
        <v>393</v>
      </c>
      <c r="DL109" s="1050"/>
      <c r="DM109" s="1051"/>
      <c r="DN109" s="492" t="s">
        <v>394</v>
      </c>
      <c r="DO109" s="1047" t="s">
        <v>393</v>
      </c>
      <c r="DP109" s="1047"/>
      <c r="DQ109" s="1048"/>
      <c r="DR109" s="491" t="s">
        <v>394</v>
      </c>
      <c r="DS109" s="1044" t="s">
        <v>393</v>
      </c>
      <c r="DT109" s="1045"/>
      <c r="DU109" s="1046"/>
      <c r="DV109" s="491" t="s">
        <v>394</v>
      </c>
      <c r="DW109" s="489" t="s">
        <v>391</v>
      </c>
      <c r="DX109" s="490" t="s">
        <v>392</v>
      </c>
      <c r="DY109" s="1044" t="s">
        <v>393</v>
      </c>
      <c r="DZ109" s="1045"/>
      <c r="EA109" s="1046"/>
      <c r="EB109" s="494" t="s">
        <v>394</v>
      </c>
      <c r="EC109" s="1044" t="s">
        <v>393</v>
      </c>
      <c r="ED109" s="1045"/>
      <c r="EE109" s="1046"/>
      <c r="EF109" s="494" t="s">
        <v>394</v>
      </c>
      <c r="EG109" s="1044" t="s">
        <v>393</v>
      </c>
      <c r="EH109" s="1045"/>
      <c r="EI109" s="1046"/>
      <c r="EJ109" s="491" t="s">
        <v>394</v>
      </c>
      <c r="EK109" s="489" t="s">
        <v>391</v>
      </c>
      <c r="EL109" s="490" t="s">
        <v>392</v>
      </c>
      <c r="EM109" s="1044" t="s">
        <v>393</v>
      </c>
      <c r="EN109" s="1045"/>
      <c r="EO109" s="1046"/>
      <c r="EP109" s="494" t="s">
        <v>394</v>
      </c>
      <c r="EQ109" s="1044" t="s">
        <v>393</v>
      </c>
      <c r="ER109" s="1045"/>
      <c r="ES109" s="1046"/>
      <c r="ET109" s="494" t="s">
        <v>394</v>
      </c>
      <c r="EU109" s="1044" t="s">
        <v>393</v>
      </c>
      <c r="EV109" s="1045"/>
      <c r="EW109" s="1046"/>
      <c r="EX109" s="491" t="s">
        <v>394</v>
      </c>
      <c r="EY109" s="489" t="s">
        <v>391</v>
      </c>
      <c r="EZ109" s="490" t="s">
        <v>392</v>
      </c>
      <c r="FA109" s="1044" t="s">
        <v>393</v>
      </c>
      <c r="FB109" s="1045"/>
      <c r="FC109" s="1046"/>
      <c r="FD109" s="494" t="s">
        <v>394</v>
      </c>
      <c r="FE109" s="1044" t="s">
        <v>393</v>
      </c>
      <c r="FF109" s="1045"/>
      <c r="FG109" s="1046"/>
      <c r="FH109" s="494" t="s">
        <v>394</v>
      </c>
      <c r="FI109" s="1044" t="s">
        <v>393</v>
      </c>
      <c r="FJ109" s="1045"/>
      <c r="FK109" s="1046"/>
      <c r="FL109" s="491" t="s">
        <v>394</v>
      </c>
      <c r="FM109" s="489" t="s">
        <v>391</v>
      </c>
      <c r="FN109" s="490" t="s">
        <v>392</v>
      </c>
      <c r="FO109" s="1044" t="s">
        <v>393</v>
      </c>
      <c r="FP109" s="1045"/>
      <c r="FQ109" s="1046"/>
      <c r="FR109" s="494" t="s">
        <v>394</v>
      </c>
      <c r="FS109" s="1044" t="s">
        <v>393</v>
      </c>
      <c r="FT109" s="1045"/>
      <c r="FU109" s="1046"/>
      <c r="FV109" s="494" t="s">
        <v>394</v>
      </c>
      <c r="FW109" s="1044" t="s">
        <v>393</v>
      </c>
      <c r="FX109" s="1045"/>
      <c r="FY109" s="1046"/>
      <c r="FZ109" s="491" t="s">
        <v>394</v>
      </c>
    </row>
    <row r="110" spans="1:182" ht="30" customHeight="1" x14ac:dyDescent="0.2">
      <c r="A110" s="495" t="s">
        <v>395</v>
      </c>
      <c r="B110" s="496" t="s">
        <v>396</v>
      </c>
      <c r="C110" s="497" t="s">
        <v>397</v>
      </c>
      <c r="D110" s="496" t="s">
        <v>398</v>
      </c>
      <c r="E110" s="496" t="s">
        <v>399</v>
      </c>
      <c r="F110" s="496" t="s">
        <v>400</v>
      </c>
      <c r="G110" s="496" t="s">
        <v>397</v>
      </c>
      <c r="H110" s="496" t="s">
        <v>398</v>
      </c>
      <c r="I110" s="496" t="s">
        <v>399</v>
      </c>
      <c r="J110" s="496" t="s">
        <v>400</v>
      </c>
      <c r="K110" s="496" t="s">
        <v>397</v>
      </c>
      <c r="L110" s="496" t="s">
        <v>398</v>
      </c>
      <c r="M110" s="496" t="s">
        <v>399</v>
      </c>
      <c r="N110" s="498" t="s">
        <v>400</v>
      </c>
      <c r="O110" s="495" t="s">
        <v>395</v>
      </c>
      <c r="P110" s="496" t="s">
        <v>396</v>
      </c>
      <c r="Q110" s="496" t="s">
        <v>397</v>
      </c>
      <c r="R110" s="496" t="s">
        <v>398</v>
      </c>
      <c r="S110" s="496" t="s">
        <v>399</v>
      </c>
      <c r="T110" s="496" t="s">
        <v>400</v>
      </c>
      <c r="U110" s="496" t="s">
        <v>397</v>
      </c>
      <c r="V110" s="496" t="s">
        <v>398</v>
      </c>
      <c r="W110" s="496" t="s">
        <v>399</v>
      </c>
      <c r="X110" s="496" t="s">
        <v>400</v>
      </c>
      <c r="Y110" s="496" t="s">
        <v>397</v>
      </c>
      <c r="Z110" s="496" t="s">
        <v>398</v>
      </c>
      <c r="AA110" s="496" t="s">
        <v>399</v>
      </c>
      <c r="AB110" s="498" t="s">
        <v>400</v>
      </c>
      <c r="AC110" s="495" t="s">
        <v>395</v>
      </c>
      <c r="AD110" s="496" t="s">
        <v>396</v>
      </c>
      <c r="AE110" s="499" t="s">
        <v>397</v>
      </c>
      <c r="AF110" s="499" t="s">
        <v>398</v>
      </c>
      <c r="AG110" s="499" t="s">
        <v>399</v>
      </c>
      <c r="AH110" s="496" t="s">
        <v>400</v>
      </c>
      <c r="AI110" s="496" t="s">
        <v>397</v>
      </c>
      <c r="AJ110" s="496" t="s">
        <v>398</v>
      </c>
      <c r="AK110" s="496" t="s">
        <v>399</v>
      </c>
      <c r="AL110" s="496" t="s">
        <v>400</v>
      </c>
      <c r="AM110" s="496" t="s">
        <v>397</v>
      </c>
      <c r="AN110" s="496" t="s">
        <v>398</v>
      </c>
      <c r="AO110" s="496" t="s">
        <v>399</v>
      </c>
      <c r="AP110" s="498" t="s">
        <v>400</v>
      </c>
      <c r="AQ110" s="495" t="s">
        <v>395</v>
      </c>
      <c r="AR110" s="496" t="s">
        <v>396</v>
      </c>
      <c r="AS110" s="496" t="s">
        <v>397</v>
      </c>
      <c r="AT110" s="496" t="s">
        <v>398</v>
      </c>
      <c r="AU110" s="496" t="s">
        <v>399</v>
      </c>
      <c r="AV110" s="496" t="s">
        <v>400</v>
      </c>
      <c r="AW110" s="496" t="s">
        <v>397</v>
      </c>
      <c r="AX110" s="496" t="s">
        <v>398</v>
      </c>
      <c r="AY110" s="496" t="s">
        <v>399</v>
      </c>
      <c r="AZ110" s="496" t="s">
        <v>400</v>
      </c>
      <c r="BA110" s="496" t="s">
        <v>397</v>
      </c>
      <c r="BB110" s="496" t="s">
        <v>398</v>
      </c>
      <c r="BC110" s="496" t="s">
        <v>399</v>
      </c>
      <c r="BD110" s="498" t="s">
        <v>400</v>
      </c>
      <c r="BE110" s="495" t="s">
        <v>395</v>
      </c>
      <c r="BF110" s="496" t="s">
        <v>396</v>
      </c>
      <c r="BG110" s="496" t="s">
        <v>397</v>
      </c>
      <c r="BH110" s="496" t="s">
        <v>398</v>
      </c>
      <c r="BI110" s="496" t="s">
        <v>399</v>
      </c>
      <c r="BJ110" s="496" t="s">
        <v>400</v>
      </c>
      <c r="BK110" s="496" t="s">
        <v>397</v>
      </c>
      <c r="BL110" s="496" t="s">
        <v>398</v>
      </c>
      <c r="BM110" s="496" t="s">
        <v>399</v>
      </c>
      <c r="BN110" s="496" t="s">
        <v>400</v>
      </c>
      <c r="BO110" s="496" t="s">
        <v>397</v>
      </c>
      <c r="BP110" s="496" t="s">
        <v>398</v>
      </c>
      <c r="BQ110" s="496" t="s">
        <v>399</v>
      </c>
      <c r="BR110" s="498" t="s">
        <v>400</v>
      </c>
      <c r="BS110" s="495" t="s">
        <v>395</v>
      </c>
      <c r="BT110" s="496" t="s">
        <v>396</v>
      </c>
      <c r="BU110" s="496" t="s">
        <v>397</v>
      </c>
      <c r="BV110" s="496" t="s">
        <v>398</v>
      </c>
      <c r="BW110" s="496" t="s">
        <v>399</v>
      </c>
      <c r="BX110" s="496" t="s">
        <v>400</v>
      </c>
      <c r="BY110" s="499" t="s">
        <v>397</v>
      </c>
      <c r="BZ110" s="499" t="s">
        <v>398</v>
      </c>
      <c r="CA110" s="499" t="s">
        <v>399</v>
      </c>
      <c r="CB110" s="496" t="s">
        <v>400</v>
      </c>
      <c r="CC110" s="499" t="s">
        <v>397</v>
      </c>
      <c r="CD110" s="499" t="s">
        <v>398</v>
      </c>
      <c r="CE110" s="499" t="s">
        <v>399</v>
      </c>
      <c r="CF110" s="498" t="s">
        <v>400</v>
      </c>
      <c r="CG110" s="495" t="s">
        <v>395</v>
      </c>
      <c r="CH110" s="496" t="s">
        <v>396</v>
      </c>
      <c r="CI110" s="496" t="s">
        <v>397</v>
      </c>
      <c r="CJ110" s="496" t="s">
        <v>398</v>
      </c>
      <c r="CK110" s="496" t="s">
        <v>399</v>
      </c>
      <c r="CL110" s="496" t="s">
        <v>400</v>
      </c>
      <c r="CM110" s="496" t="s">
        <v>397</v>
      </c>
      <c r="CN110" s="496" t="s">
        <v>398</v>
      </c>
      <c r="CO110" s="496" t="s">
        <v>399</v>
      </c>
      <c r="CP110" s="496" t="s">
        <v>400</v>
      </c>
      <c r="CQ110" s="499" t="s">
        <v>397</v>
      </c>
      <c r="CR110" s="499" t="s">
        <v>398</v>
      </c>
      <c r="CS110" s="499" t="s">
        <v>399</v>
      </c>
      <c r="CT110" s="498" t="s">
        <v>400</v>
      </c>
      <c r="CU110" s="495" t="s">
        <v>395</v>
      </c>
      <c r="CV110" s="496" t="s">
        <v>396</v>
      </c>
      <c r="CW110" s="499" t="s">
        <v>397</v>
      </c>
      <c r="CX110" s="499" t="s">
        <v>398</v>
      </c>
      <c r="CY110" s="499" t="s">
        <v>399</v>
      </c>
      <c r="CZ110" s="496" t="s">
        <v>400</v>
      </c>
      <c r="DA110" s="496" t="s">
        <v>397</v>
      </c>
      <c r="DB110" s="496" t="s">
        <v>398</v>
      </c>
      <c r="DC110" s="496" t="s">
        <v>399</v>
      </c>
      <c r="DD110" s="496" t="s">
        <v>400</v>
      </c>
      <c r="DE110" s="499" t="s">
        <v>397</v>
      </c>
      <c r="DF110" s="499" t="s">
        <v>398</v>
      </c>
      <c r="DG110" s="499" t="s">
        <v>399</v>
      </c>
      <c r="DH110" s="498" t="s">
        <v>400</v>
      </c>
      <c r="DI110" s="495" t="s">
        <v>395</v>
      </c>
      <c r="DJ110" s="496" t="s">
        <v>396</v>
      </c>
      <c r="DK110" s="499" t="s">
        <v>397</v>
      </c>
      <c r="DL110" s="499" t="s">
        <v>398</v>
      </c>
      <c r="DM110" s="499" t="s">
        <v>399</v>
      </c>
      <c r="DN110" s="496" t="s">
        <v>400</v>
      </c>
      <c r="DO110" s="499" t="s">
        <v>397</v>
      </c>
      <c r="DP110" s="499" t="s">
        <v>398</v>
      </c>
      <c r="DQ110" s="499" t="s">
        <v>399</v>
      </c>
      <c r="DR110" s="496" t="s">
        <v>400</v>
      </c>
      <c r="DS110" s="496" t="s">
        <v>397</v>
      </c>
      <c r="DT110" s="496" t="s">
        <v>398</v>
      </c>
      <c r="DU110" s="496" t="s">
        <v>399</v>
      </c>
      <c r="DV110" s="498" t="s">
        <v>400</v>
      </c>
      <c r="DW110" s="495" t="s">
        <v>395</v>
      </c>
      <c r="DX110" s="496" t="s">
        <v>396</v>
      </c>
      <c r="DY110" s="496" t="s">
        <v>397</v>
      </c>
      <c r="DZ110" s="496" t="s">
        <v>398</v>
      </c>
      <c r="EA110" s="496" t="s">
        <v>399</v>
      </c>
      <c r="EB110" s="496" t="s">
        <v>400</v>
      </c>
      <c r="EC110" s="496" t="s">
        <v>397</v>
      </c>
      <c r="ED110" s="496" t="s">
        <v>398</v>
      </c>
      <c r="EE110" s="496" t="s">
        <v>399</v>
      </c>
      <c r="EF110" s="496" t="s">
        <v>400</v>
      </c>
      <c r="EG110" s="496" t="s">
        <v>397</v>
      </c>
      <c r="EH110" s="496" t="s">
        <v>398</v>
      </c>
      <c r="EI110" s="496" t="s">
        <v>399</v>
      </c>
      <c r="EJ110" s="498" t="s">
        <v>400</v>
      </c>
      <c r="EK110" s="495" t="s">
        <v>395</v>
      </c>
      <c r="EL110" s="496" t="s">
        <v>396</v>
      </c>
      <c r="EM110" s="496" t="s">
        <v>397</v>
      </c>
      <c r="EN110" s="496" t="s">
        <v>398</v>
      </c>
      <c r="EO110" s="496" t="s">
        <v>399</v>
      </c>
      <c r="EP110" s="496" t="s">
        <v>400</v>
      </c>
      <c r="EQ110" s="496" t="s">
        <v>397</v>
      </c>
      <c r="ER110" s="496" t="s">
        <v>398</v>
      </c>
      <c r="ES110" s="496" t="s">
        <v>399</v>
      </c>
      <c r="ET110" s="496" t="s">
        <v>400</v>
      </c>
      <c r="EU110" s="496" t="s">
        <v>397</v>
      </c>
      <c r="EV110" s="496" t="s">
        <v>398</v>
      </c>
      <c r="EW110" s="496" t="s">
        <v>399</v>
      </c>
      <c r="EX110" s="498" t="s">
        <v>400</v>
      </c>
      <c r="EY110" s="495" t="s">
        <v>395</v>
      </c>
      <c r="EZ110" s="496" t="s">
        <v>396</v>
      </c>
      <c r="FA110" s="496" t="s">
        <v>397</v>
      </c>
      <c r="FB110" s="496" t="s">
        <v>398</v>
      </c>
      <c r="FC110" s="496" t="s">
        <v>399</v>
      </c>
      <c r="FD110" s="496" t="s">
        <v>400</v>
      </c>
      <c r="FE110" s="496" t="s">
        <v>397</v>
      </c>
      <c r="FF110" s="496" t="s">
        <v>398</v>
      </c>
      <c r="FG110" s="496" t="s">
        <v>399</v>
      </c>
      <c r="FH110" s="496" t="s">
        <v>400</v>
      </c>
      <c r="FI110" s="496" t="s">
        <v>397</v>
      </c>
      <c r="FJ110" s="496" t="s">
        <v>398</v>
      </c>
      <c r="FK110" s="496" t="s">
        <v>399</v>
      </c>
      <c r="FL110" s="498" t="s">
        <v>400</v>
      </c>
      <c r="FM110" s="495" t="s">
        <v>395</v>
      </c>
      <c r="FN110" s="496" t="s">
        <v>396</v>
      </c>
      <c r="FO110" s="496" t="s">
        <v>397</v>
      </c>
      <c r="FP110" s="496" t="s">
        <v>398</v>
      </c>
      <c r="FQ110" s="496" t="s">
        <v>399</v>
      </c>
      <c r="FR110" s="496" t="s">
        <v>400</v>
      </c>
      <c r="FS110" s="496" t="s">
        <v>397</v>
      </c>
      <c r="FT110" s="496" t="s">
        <v>398</v>
      </c>
      <c r="FU110" s="496" t="s">
        <v>399</v>
      </c>
      <c r="FV110" s="496" t="s">
        <v>400</v>
      </c>
      <c r="FW110" s="496" t="s">
        <v>397</v>
      </c>
      <c r="FX110" s="496" t="s">
        <v>398</v>
      </c>
      <c r="FY110" s="496" t="s">
        <v>399</v>
      </c>
      <c r="FZ110" s="498" t="s">
        <v>400</v>
      </c>
    </row>
    <row r="111" spans="1:182" ht="19.350000000000001" customHeight="1" x14ac:dyDescent="0.2">
      <c r="A111" s="303" t="s">
        <v>143</v>
      </c>
      <c r="B111" s="507" t="s">
        <v>291</v>
      </c>
      <c r="C111" s="510">
        <f>'Combustion (Proposed)'!L46</f>
        <v>1.2745098039215686E-6</v>
      </c>
      <c r="D111" s="510">
        <f>'Combustion (Proposed)'!M46</f>
        <v>5.5823529411764704E-6</v>
      </c>
      <c r="E111" s="510">
        <f>'Combustion (Proposed)'!N46</f>
        <v>5.5823529411764704E-6</v>
      </c>
      <c r="F111" s="263"/>
      <c r="G111" s="263"/>
      <c r="H111" s="263"/>
      <c r="I111" s="263"/>
      <c r="J111" s="263"/>
      <c r="K111" s="263"/>
      <c r="L111" s="263"/>
      <c r="M111" s="263"/>
      <c r="N111" s="508"/>
      <c r="O111" s="303" t="s">
        <v>143</v>
      </c>
      <c r="P111" s="507" t="s">
        <v>291</v>
      </c>
      <c r="Q111" s="179">
        <f>'Combustion (Proposed)'!O111</f>
        <v>4.4811764705882347E-6</v>
      </c>
      <c r="R111" s="179">
        <f>'Combustion (Proposed)'!P111</f>
        <v>1.9627552941176469E-5</v>
      </c>
      <c r="S111" s="179">
        <f>'Combustion (Proposed)'!Q111</f>
        <v>1.9627552941176469E-5</v>
      </c>
      <c r="T111" s="263"/>
      <c r="U111" s="263"/>
      <c r="V111" s="263"/>
      <c r="W111" s="263"/>
      <c r="X111" s="263"/>
      <c r="Y111" s="179"/>
      <c r="Z111" s="179"/>
      <c r="AA111" s="179"/>
      <c r="AB111" s="509"/>
      <c r="AC111" s="303" t="s">
        <v>143</v>
      </c>
      <c r="AD111" s="507" t="s">
        <v>291</v>
      </c>
      <c r="AE111" s="179"/>
      <c r="AF111" s="179"/>
      <c r="AG111" s="179"/>
      <c r="AH111" s="179"/>
      <c r="AI111" s="179"/>
      <c r="AJ111" s="179"/>
      <c r="AK111" s="179"/>
      <c r="AL111" s="179"/>
      <c r="AM111" s="179"/>
      <c r="AN111" s="179"/>
      <c r="AO111" s="179"/>
      <c r="AP111" s="509"/>
      <c r="AQ111" s="303" t="s">
        <v>143</v>
      </c>
      <c r="AR111" s="507" t="s">
        <v>291</v>
      </c>
      <c r="AS111" s="179"/>
      <c r="AT111" s="179"/>
      <c r="AU111" s="179"/>
      <c r="AV111" s="179"/>
      <c r="AW111" s="179"/>
      <c r="AX111" s="179"/>
      <c r="AY111" s="179"/>
      <c r="AZ111" s="179"/>
      <c r="BA111" s="179"/>
      <c r="BB111" s="179"/>
      <c r="BC111" s="179"/>
      <c r="BD111" s="509"/>
      <c r="BE111" s="303" t="s">
        <v>143</v>
      </c>
      <c r="BF111" s="507" t="s">
        <v>291</v>
      </c>
      <c r="BG111" s="179"/>
      <c r="BH111" s="179"/>
      <c r="BI111" s="179"/>
      <c r="BJ111" s="179"/>
      <c r="BK111" s="179">
        <f>'Combustion (Proposed)'!O179</f>
        <v>2.4980392156862747E-5</v>
      </c>
      <c r="BL111" s="179">
        <f>'Combustion (Proposed)'!P179</f>
        <v>1.0941411764705882E-4</v>
      </c>
      <c r="BM111" s="179">
        <f>'Combustion (Proposed)'!Q179</f>
        <v>1.0941411764705882E-4</v>
      </c>
      <c r="BN111" s="179"/>
      <c r="BO111" s="179"/>
      <c r="BP111" s="179"/>
      <c r="BQ111" s="179"/>
      <c r="BR111" s="509"/>
      <c r="BS111" s="303" t="s">
        <v>143</v>
      </c>
      <c r="BT111" s="507" t="s">
        <v>291</v>
      </c>
      <c r="BU111" s="179"/>
      <c r="BV111" s="179"/>
      <c r="BW111" s="179"/>
      <c r="BX111" s="179"/>
      <c r="BY111" s="179"/>
      <c r="BZ111" s="179"/>
      <c r="CA111" s="179"/>
      <c r="CB111" s="179"/>
      <c r="CC111" s="179"/>
      <c r="CD111" s="179"/>
      <c r="CE111" s="179"/>
      <c r="CF111" s="509"/>
      <c r="CG111" s="303" t="s">
        <v>143</v>
      </c>
      <c r="CH111" s="507" t="s">
        <v>291</v>
      </c>
      <c r="CI111" s="179"/>
      <c r="CJ111" s="179"/>
      <c r="CK111" s="179"/>
      <c r="CL111" s="179"/>
      <c r="CM111" s="179"/>
      <c r="CN111" s="179"/>
      <c r="CO111" s="179"/>
      <c r="CP111" s="179"/>
      <c r="CQ111" s="179"/>
      <c r="CR111" s="179"/>
      <c r="CS111" s="179"/>
      <c r="CT111" s="509"/>
      <c r="CU111" s="303" t="s">
        <v>143</v>
      </c>
      <c r="CV111" s="507" t="s">
        <v>291</v>
      </c>
      <c r="CW111" s="179"/>
      <c r="CX111" s="179"/>
      <c r="CY111" s="179"/>
      <c r="CZ111" s="179"/>
      <c r="DA111" s="179"/>
      <c r="DB111" s="179"/>
      <c r="DC111" s="179"/>
      <c r="DD111" s="179"/>
      <c r="DE111" s="179"/>
      <c r="DF111" s="179"/>
      <c r="DG111" s="179"/>
      <c r="DH111" s="509"/>
      <c r="DI111" s="303" t="s">
        <v>143</v>
      </c>
      <c r="DJ111" s="507" t="s">
        <v>291</v>
      </c>
      <c r="DK111" s="179"/>
      <c r="DL111" s="179"/>
      <c r="DM111" s="179"/>
      <c r="DN111" s="179"/>
      <c r="DO111" s="179"/>
      <c r="DP111" s="179"/>
      <c r="DQ111" s="179"/>
      <c r="DR111" s="179"/>
      <c r="DS111" s="179"/>
      <c r="DT111" s="179"/>
      <c r="DU111" s="179"/>
      <c r="DV111" s="509"/>
      <c r="DW111" s="303" t="s">
        <v>143</v>
      </c>
      <c r="DX111" s="507" t="s">
        <v>291</v>
      </c>
      <c r="DY111" s="179"/>
      <c r="DZ111" s="179"/>
      <c r="EA111" s="179"/>
      <c r="EB111" s="179"/>
      <c r="EC111" s="179"/>
      <c r="ED111" s="179"/>
      <c r="EE111" s="179"/>
      <c r="EF111" s="179"/>
      <c r="EG111" s="179"/>
      <c r="EH111" s="179"/>
      <c r="EI111" s="179"/>
      <c r="EJ111" s="509"/>
      <c r="EK111" s="303" t="s">
        <v>143</v>
      </c>
      <c r="EL111" s="507" t="s">
        <v>291</v>
      </c>
      <c r="EM111" s="179"/>
      <c r="EN111" s="179"/>
      <c r="EO111" s="179"/>
      <c r="EP111" s="510"/>
      <c r="EQ111" s="179"/>
      <c r="ER111" s="179"/>
      <c r="ES111" s="179"/>
      <c r="ET111" s="510"/>
      <c r="EU111" s="179"/>
      <c r="EV111" s="179"/>
      <c r="EW111" s="179"/>
      <c r="EX111" s="511"/>
      <c r="EY111" s="303" t="s">
        <v>143</v>
      </c>
      <c r="EZ111" s="507" t="s">
        <v>291</v>
      </c>
      <c r="FA111" s="179"/>
      <c r="FB111" s="179"/>
      <c r="FC111" s="179"/>
      <c r="FD111" s="510"/>
      <c r="FE111" s="179"/>
      <c r="FF111" s="179"/>
      <c r="FG111" s="179"/>
      <c r="FH111" s="510"/>
      <c r="FI111" s="179"/>
      <c r="FJ111" s="179"/>
      <c r="FK111" s="179"/>
      <c r="FL111" s="511"/>
      <c r="FM111" s="303" t="s">
        <v>143</v>
      </c>
      <c r="FN111" s="507" t="s">
        <v>291</v>
      </c>
      <c r="FO111" s="179"/>
      <c r="FP111" s="179"/>
      <c r="FQ111" s="179"/>
      <c r="FR111" s="510"/>
      <c r="FS111" s="179"/>
      <c r="FT111" s="179"/>
      <c r="FU111" s="179"/>
      <c r="FV111" s="510"/>
      <c r="FW111" s="179"/>
      <c r="FX111" s="179"/>
      <c r="FY111" s="179"/>
      <c r="FZ111" s="511"/>
    </row>
    <row r="112" spans="1:182" ht="19.350000000000001" customHeight="1" x14ac:dyDescent="0.2">
      <c r="A112" s="303" t="s">
        <v>144</v>
      </c>
      <c r="B112" s="507" t="s">
        <v>293</v>
      </c>
      <c r="C112" s="510">
        <f>'Combustion (Proposed)'!L47</f>
        <v>1.0294117647058823E-5</v>
      </c>
      <c r="D112" s="510">
        <f>'Combustion (Proposed)'!M47</f>
        <v>4.5088235294117644E-5</v>
      </c>
      <c r="E112" s="510">
        <f>'Combustion (Proposed)'!N47</f>
        <v>4.5088235294117644E-5</v>
      </c>
      <c r="F112" s="263"/>
      <c r="G112" s="263"/>
      <c r="H112" s="263"/>
      <c r="I112" s="263"/>
      <c r="J112" s="263"/>
      <c r="K112" s="263"/>
      <c r="L112" s="263"/>
      <c r="M112" s="263"/>
      <c r="N112" s="508"/>
      <c r="O112" s="303" t="s">
        <v>144</v>
      </c>
      <c r="P112" s="507" t="s">
        <v>293</v>
      </c>
      <c r="Q112" s="179">
        <f>'Combustion (Proposed)'!O112</f>
        <v>3.6194117647058815E-5</v>
      </c>
      <c r="R112" s="179">
        <f>'Combustion (Proposed)'!P112</f>
        <v>1.5853023529411762E-4</v>
      </c>
      <c r="S112" s="179">
        <f>'Combustion (Proposed)'!Q112</f>
        <v>1.5853023529411762E-4</v>
      </c>
      <c r="T112" s="263"/>
      <c r="U112" s="263"/>
      <c r="V112" s="263"/>
      <c r="W112" s="263"/>
      <c r="X112" s="263"/>
      <c r="Y112" s="179"/>
      <c r="Z112" s="179"/>
      <c r="AA112" s="179"/>
      <c r="AB112" s="509"/>
      <c r="AC112" s="303" t="s">
        <v>144</v>
      </c>
      <c r="AD112" s="507" t="s">
        <v>293</v>
      </c>
      <c r="AE112" s="179"/>
      <c r="AF112" s="179"/>
      <c r="AG112" s="179"/>
      <c r="AH112" s="179"/>
      <c r="AI112" s="179"/>
      <c r="AJ112" s="179"/>
      <c r="AK112" s="179"/>
      <c r="AL112" s="179"/>
      <c r="AM112" s="179"/>
      <c r="AN112" s="179"/>
      <c r="AO112" s="179"/>
      <c r="AP112" s="509"/>
      <c r="AQ112" s="303" t="s">
        <v>144</v>
      </c>
      <c r="AR112" s="507" t="s">
        <v>293</v>
      </c>
      <c r="AS112" s="179"/>
      <c r="AT112" s="179"/>
      <c r="AU112" s="179"/>
      <c r="AV112" s="179"/>
      <c r="AW112" s="179"/>
      <c r="AX112" s="179"/>
      <c r="AY112" s="179"/>
      <c r="AZ112" s="179"/>
      <c r="BA112" s="179"/>
      <c r="BB112" s="179"/>
      <c r="BC112" s="179"/>
      <c r="BD112" s="509"/>
      <c r="BE112" s="303" t="s">
        <v>144</v>
      </c>
      <c r="BF112" s="507" t="s">
        <v>293</v>
      </c>
      <c r="BG112" s="179"/>
      <c r="BH112" s="179"/>
      <c r="BI112" s="179"/>
      <c r="BJ112" s="179"/>
      <c r="BK112" s="179">
        <f>'Combustion (Proposed)'!O180</f>
        <v>2.0176470588235295E-4</v>
      </c>
      <c r="BL112" s="179">
        <f>'Combustion (Proposed)'!P180</f>
        <v>8.8372941176470586E-4</v>
      </c>
      <c r="BM112" s="179">
        <f>'Combustion (Proposed)'!Q180</f>
        <v>8.8372941176470586E-4</v>
      </c>
      <c r="BN112" s="179"/>
      <c r="BO112" s="179"/>
      <c r="BP112" s="179"/>
      <c r="BQ112" s="179"/>
      <c r="BR112" s="509"/>
      <c r="BS112" s="303" t="s">
        <v>144</v>
      </c>
      <c r="BT112" s="507" t="s">
        <v>293</v>
      </c>
      <c r="BU112" s="179"/>
      <c r="BV112" s="179"/>
      <c r="BW112" s="179"/>
      <c r="BX112" s="179"/>
      <c r="BY112" s="179"/>
      <c r="BZ112" s="179"/>
      <c r="CA112" s="179"/>
      <c r="CB112" s="179"/>
      <c r="CC112" s="179"/>
      <c r="CD112" s="179"/>
      <c r="CE112" s="179"/>
      <c r="CF112" s="509"/>
      <c r="CG112" s="303" t="s">
        <v>144</v>
      </c>
      <c r="CH112" s="507" t="s">
        <v>293</v>
      </c>
      <c r="CI112" s="179"/>
      <c r="CJ112" s="179"/>
      <c r="CK112" s="179"/>
      <c r="CL112" s="179"/>
      <c r="CM112" s="179"/>
      <c r="CN112" s="179"/>
      <c r="CO112" s="179"/>
      <c r="CP112" s="179"/>
      <c r="CQ112" s="179"/>
      <c r="CR112" s="179"/>
      <c r="CS112" s="179"/>
      <c r="CT112" s="509"/>
      <c r="CU112" s="303" t="s">
        <v>144</v>
      </c>
      <c r="CV112" s="507" t="s">
        <v>293</v>
      </c>
      <c r="CW112" s="179"/>
      <c r="CX112" s="179"/>
      <c r="CY112" s="179"/>
      <c r="CZ112" s="179"/>
      <c r="DA112" s="179"/>
      <c r="DB112" s="179"/>
      <c r="DC112" s="179"/>
      <c r="DD112" s="179"/>
      <c r="DE112" s="179"/>
      <c r="DF112" s="179"/>
      <c r="DG112" s="179"/>
      <c r="DH112" s="509"/>
      <c r="DI112" s="303" t="s">
        <v>144</v>
      </c>
      <c r="DJ112" s="507" t="s">
        <v>293</v>
      </c>
      <c r="DK112" s="179"/>
      <c r="DL112" s="179"/>
      <c r="DM112" s="179"/>
      <c r="DN112" s="179"/>
      <c r="DO112" s="179"/>
      <c r="DP112" s="179"/>
      <c r="DQ112" s="179"/>
      <c r="DR112" s="179"/>
      <c r="DS112" s="179"/>
      <c r="DT112" s="179"/>
      <c r="DU112" s="179"/>
      <c r="DV112" s="509"/>
      <c r="DW112" s="303" t="s">
        <v>144</v>
      </c>
      <c r="DX112" s="507" t="s">
        <v>293</v>
      </c>
      <c r="DY112" s="179"/>
      <c r="DZ112" s="179"/>
      <c r="EA112" s="179"/>
      <c r="EB112" s="179"/>
      <c r="EC112" s="179"/>
      <c r="ED112" s="179"/>
      <c r="EE112" s="179"/>
      <c r="EF112" s="179"/>
      <c r="EG112" s="179"/>
      <c r="EH112" s="179"/>
      <c r="EI112" s="179"/>
      <c r="EJ112" s="509"/>
      <c r="EK112" s="303" t="s">
        <v>144</v>
      </c>
      <c r="EL112" s="507" t="s">
        <v>293</v>
      </c>
      <c r="EM112" s="179"/>
      <c r="EN112" s="179"/>
      <c r="EO112" s="179"/>
      <c r="EP112" s="510"/>
      <c r="EQ112" s="179"/>
      <c r="ER112" s="179"/>
      <c r="ES112" s="179"/>
      <c r="ET112" s="510"/>
      <c r="EU112" s="179"/>
      <c r="EV112" s="179"/>
      <c r="EW112" s="179"/>
      <c r="EX112" s="511"/>
      <c r="EY112" s="303" t="s">
        <v>144</v>
      </c>
      <c r="EZ112" s="507" t="s">
        <v>293</v>
      </c>
      <c r="FA112" s="179"/>
      <c r="FB112" s="179"/>
      <c r="FC112" s="179"/>
      <c r="FD112" s="510"/>
      <c r="FE112" s="179"/>
      <c r="FF112" s="179"/>
      <c r="FG112" s="179"/>
      <c r="FH112" s="510"/>
      <c r="FI112" s="179"/>
      <c r="FJ112" s="179"/>
      <c r="FK112" s="179"/>
      <c r="FL112" s="511"/>
      <c r="FM112" s="303" t="s">
        <v>144</v>
      </c>
      <c r="FN112" s="507" t="s">
        <v>293</v>
      </c>
      <c r="FO112" s="179"/>
      <c r="FP112" s="179"/>
      <c r="FQ112" s="179"/>
      <c r="FR112" s="510"/>
      <c r="FS112" s="179"/>
      <c r="FT112" s="179"/>
      <c r="FU112" s="179"/>
      <c r="FV112" s="510"/>
      <c r="FW112" s="179"/>
      <c r="FX112" s="179"/>
      <c r="FY112" s="179"/>
      <c r="FZ112" s="511"/>
    </row>
    <row r="113" spans="1:182" ht="19.350000000000001" customHeight="1" x14ac:dyDescent="0.2">
      <c r="A113" s="303" t="s">
        <v>145</v>
      </c>
      <c r="B113" s="507" t="s">
        <v>426</v>
      </c>
      <c r="C113" s="510">
        <f>'Combustion (Proposed)'!L48</f>
        <v>1.1764705882352942E-7</v>
      </c>
      <c r="D113" s="510">
        <f>'Combustion (Proposed)'!M48</f>
        <v>5.1529411764705885E-7</v>
      </c>
      <c r="E113" s="510">
        <f>'Combustion (Proposed)'!N48</f>
        <v>5.1529411764705885E-7</v>
      </c>
      <c r="F113" s="263"/>
      <c r="G113" s="263"/>
      <c r="H113" s="263"/>
      <c r="I113" s="263"/>
      <c r="J113" s="263"/>
      <c r="K113" s="263"/>
      <c r="L113" s="263"/>
      <c r="M113" s="263"/>
      <c r="N113" s="508"/>
      <c r="O113" s="303" t="s">
        <v>145</v>
      </c>
      <c r="P113" s="507" t="s">
        <v>426</v>
      </c>
      <c r="Q113" s="179">
        <f>'Combustion (Proposed)'!O113</f>
        <v>4.1364705882352939E-7</v>
      </c>
      <c r="R113" s="179">
        <f>'Combustion (Proposed)'!P113</f>
        <v>1.8117741176470586E-6</v>
      </c>
      <c r="S113" s="179">
        <f>'Combustion (Proposed)'!Q113</f>
        <v>1.8117741176470586E-6</v>
      </c>
      <c r="T113" s="263"/>
      <c r="U113" s="263"/>
      <c r="V113" s="263"/>
      <c r="W113" s="263"/>
      <c r="X113" s="263"/>
      <c r="Y113" s="179"/>
      <c r="Z113" s="179"/>
      <c r="AA113" s="179"/>
      <c r="AB113" s="509"/>
      <c r="AC113" s="303" t="s">
        <v>145</v>
      </c>
      <c r="AD113" s="507" t="s">
        <v>426</v>
      </c>
      <c r="AE113" s="179"/>
      <c r="AF113" s="179"/>
      <c r="AG113" s="179"/>
      <c r="AH113" s="179"/>
      <c r="AI113" s="179"/>
      <c r="AJ113" s="179"/>
      <c r="AK113" s="179"/>
      <c r="AL113" s="179"/>
      <c r="AM113" s="179"/>
      <c r="AN113" s="179"/>
      <c r="AO113" s="179"/>
      <c r="AP113" s="509"/>
      <c r="AQ113" s="303" t="s">
        <v>145</v>
      </c>
      <c r="AR113" s="507" t="s">
        <v>426</v>
      </c>
      <c r="AS113" s="179"/>
      <c r="AT113" s="179"/>
      <c r="AU113" s="179"/>
      <c r="AV113" s="179"/>
      <c r="AW113" s="179"/>
      <c r="AX113" s="179"/>
      <c r="AY113" s="179"/>
      <c r="AZ113" s="179"/>
      <c r="BA113" s="179"/>
      <c r="BB113" s="179"/>
      <c r="BC113" s="179"/>
      <c r="BD113" s="509"/>
      <c r="BE113" s="303" t="s">
        <v>145</v>
      </c>
      <c r="BF113" s="507" t="s">
        <v>426</v>
      </c>
      <c r="BG113" s="179"/>
      <c r="BH113" s="179"/>
      <c r="BI113" s="179"/>
      <c r="BJ113" s="179"/>
      <c r="BK113" s="179">
        <f>'Combustion (Proposed)'!O181</f>
        <v>2.3058823529411766E-6</v>
      </c>
      <c r="BL113" s="179">
        <f>'Combustion (Proposed)'!P181</f>
        <v>1.0099764705882353E-5</v>
      </c>
      <c r="BM113" s="179">
        <f>'Combustion (Proposed)'!Q181</f>
        <v>1.0099764705882353E-5</v>
      </c>
      <c r="BN113" s="179"/>
      <c r="BO113" s="179"/>
      <c r="BP113" s="179"/>
      <c r="BQ113" s="179"/>
      <c r="BR113" s="509"/>
      <c r="BS113" s="303" t="s">
        <v>145</v>
      </c>
      <c r="BT113" s="507" t="s">
        <v>426</v>
      </c>
      <c r="BU113" s="179"/>
      <c r="BV113" s="179"/>
      <c r="BW113" s="179"/>
      <c r="BX113" s="179"/>
      <c r="BY113" s="179"/>
      <c r="BZ113" s="179"/>
      <c r="CA113" s="179"/>
      <c r="CB113" s="179"/>
      <c r="CC113" s="179"/>
      <c r="CD113" s="179"/>
      <c r="CE113" s="179"/>
      <c r="CF113" s="509"/>
      <c r="CG113" s="303" t="s">
        <v>145</v>
      </c>
      <c r="CH113" s="507" t="s">
        <v>426</v>
      </c>
      <c r="CI113" s="179"/>
      <c r="CJ113" s="179"/>
      <c r="CK113" s="179"/>
      <c r="CL113" s="179"/>
      <c r="CM113" s="179"/>
      <c r="CN113" s="179"/>
      <c r="CO113" s="179"/>
      <c r="CP113" s="179"/>
      <c r="CQ113" s="179"/>
      <c r="CR113" s="179"/>
      <c r="CS113" s="179"/>
      <c r="CT113" s="509"/>
      <c r="CU113" s="303" t="s">
        <v>145</v>
      </c>
      <c r="CV113" s="507" t="s">
        <v>426</v>
      </c>
      <c r="CW113" s="179"/>
      <c r="CX113" s="179"/>
      <c r="CY113" s="179"/>
      <c r="CZ113" s="179"/>
      <c r="DA113" s="179"/>
      <c r="DB113" s="179"/>
      <c r="DC113" s="179"/>
      <c r="DD113" s="179"/>
      <c r="DE113" s="179"/>
      <c r="DF113" s="179"/>
      <c r="DG113" s="179"/>
      <c r="DH113" s="509"/>
      <c r="DI113" s="303" t="s">
        <v>145</v>
      </c>
      <c r="DJ113" s="507" t="s">
        <v>426</v>
      </c>
      <c r="DK113" s="179"/>
      <c r="DL113" s="179"/>
      <c r="DM113" s="179"/>
      <c r="DN113" s="179"/>
      <c r="DO113" s="179"/>
      <c r="DP113" s="179"/>
      <c r="DQ113" s="179"/>
      <c r="DR113" s="179"/>
      <c r="DS113" s="179"/>
      <c r="DT113" s="179"/>
      <c r="DU113" s="179"/>
      <c r="DV113" s="509"/>
      <c r="DW113" s="303" t="s">
        <v>145</v>
      </c>
      <c r="DX113" s="507" t="s">
        <v>426</v>
      </c>
      <c r="DY113" s="179"/>
      <c r="DZ113" s="179"/>
      <c r="EA113" s="179"/>
      <c r="EB113" s="179"/>
      <c r="EC113" s="179"/>
      <c r="ED113" s="179"/>
      <c r="EE113" s="179"/>
      <c r="EF113" s="179"/>
      <c r="EG113" s="179"/>
      <c r="EH113" s="179"/>
      <c r="EI113" s="179"/>
      <c r="EJ113" s="509"/>
      <c r="EK113" s="303" t="s">
        <v>145</v>
      </c>
      <c r="EL113" s="507" t="s">
        <v>426</v>
      </c>
      <c r="EM113" s="179"/>
      <c r="EN113" s="179"/>
      <c r="EO113" s="179"/>
      <c r="EP113" s="179"/>
      <c r="EQ113" s="179"/>
      <c r="ER113" s="179"/>
      <c r="ES113" s="179"/>
      <c r="ET113" s="179"/>
      <c r="EU113" s="179"/>
      <c r="EV113" s="179"/>
      <c r="EW113" s="179"/>
      <c r="EX113" s="509"/>
      <c r="EY113" s="303" t="s">
        <v>145</v>
      </c>
      <c r="EZ113" s="507" t="s">
        <v>426</v>
      </c>
      <c r="FA113" s="179"/>
      <c r="FB113" s="179"/>
      <c r="FC113" s="179"/>
      <c r="FD113" s="179"/>
      <c r="FE113" s="179"/>
      <c r="FF113" s="179"/>
      <c r="FG113" s="179"/>
      <c r="FH113" s="179"/>
      <c r="FI113" s="179"/>
      <c r="FJ113" s="179"/>
      <c r="FK113" s="179"/>
      <c r="FL113" s="509"/>
      <c r="FM113" s="303" t="s">
        <v>145</v>
      </c>
      <c r="FN113" s="507" t="s">
        <v>426</v>
      </c>
      <c r="FO113" s="179"/>
      <c r="FP113" s="179"/>
      <c r="FQ113" s="179"/>
      <c r="FR113" s="179"/>
      <c r="FS113" s="179"/>
      <c r="FT113" s="179"/>
      <c r="FU113" s="179"/>
      <c r="FV113" s="179"/>
      <c r="FW113" s="179"/>
      <c r="FX113" s="179"/>
      <c r="FY113" s="179"/>
      <c r="FZ113" s="509"/>
    </row>
    <row r="114" spans="1:182" s="171" customFormat="1" ht="19.350000000000001" customHeight="1" x14ac:dyDescent="0.2">
      <c r="A114" s="516" t="s">
        <v>155</v>
      </c>
      <c r="B114" s="517"/>
      <c r="C114" s="316">
        <f>'Combustion (Proposed)'!L58</f>
        <v>796.40012856683711</v>
      </c>
      <c r="D114" s="316">
        <f>'Combustion (Proposed)'!M58</f>
        <v>3488.2325631227463</v>
      </c>
      <c r="E114" s="316">
        <f>'Combustion (Proposed)'!N58</f>
        <v>3488.2325631227463</v>
      </c>
      <c r="F114" s="263"/>
      <c r="G114" s="263"/>
      <c r="H114" s="263"/>
      <c r="I114" s="263"/>
      <c r="J114" s="263"/>
      <c r="K114" s="263"/>
      <c r="L114" s="263"/>
      <c r="M114" s="263"/>
      <c r="N114" s="508"/>
      <c r="O114" s="516" t="s">
        <v>155</v>
      </c>
      <c r="P114" s="517"/>
      <c r="Q114" s="316">
        <f>'Combustion (Proposed)'!O123</f>
        <v>3161.1960449999992</v>
      </c>
      <c r="R114" s="316">
        <f>'Combustion (Proposed)'!P123</f>
        <v>13846.038677099998</v>
      </c>
      <c r="S114" s="316">
        <f>'Combustion (Proposed)'!Q123</f>
        <v>13846.038677099998</v>
      </c>
      <c r="T114" s="263"/>
      <c r="U114" s="316"/>
      <c r="V114" s="316"/>
      <c r="W114" s="316"/>
      <c r="X114" s="263"/>
      <c r="Y114" s="316"/>
      <c r="Z114" s="316"/>
      <c r="AA114" s="316"/>
      <c r="AB114" s="509"/>
      <c r="AC114" s="516" t="s">
        <v>155</v>
      </c>
      <c r="AD114" s="517"/>
      <c r="AE114" s="316"/>
      <c r="AF114" s="316"/>
      <c r="AG114" s="316"/>
      <c r="AH114" s="179"/>
      <c r="AI114" s="316"/>
      <c r="AJ114" s="316"/>
      <c r="AK114" s="316"/>
      <c r="AL114" s="179"/>
      <c r="AM114" s="316"/>
      <c r="AN114" s="316"/>
      <c r="AO114" s="316"/>
      <c r="AP114" s="509"/>
      <c r="AQ114" s="516" t="s">
        <v>155</v>
      </c>
      <c r="AR114" s="517"/>
      <c r="AS114" s="179"/>
      <c r="AT114" s="179"/>
      <c r="AU114" s="179"/>
      <c r="AV114" s="179"/>
      <c r="AW114" s="316"/>
      <c r="AX114" s="316"/>
      <c r="AY114" s="316"/>
      <c r="AZ114" s="179"/>
      <c r="BA114" s="316"/>
      <c r="BB114" s="316"/>
      <c r="BC114" s="316"/>
      <c r="BD114" s="509"/>
      <c r="BE114" s="516" t="s">
        <v>155</v>
      </c>
      <c r="BF114" s="517"/>
      <c r="BG114" s="179"/>
      <c r="BH114" s="179"/>
      <c r="BI114" s="179"/>
      <c r="BJ114" s="179"/>
      <c r="BK114" s="316">
        <f>'Combustion (Proposed)'!O191</f>
        <v>17622.139500000001</v>
      </c>
      <c r="BL114" s="316">
        <f>'Combustion (Proposed)'!P191</f>
        <v>77184.971010000008</v>
      </c>
      <c r="BM114" s="316">
        <f>'Combustion (Proposed)'!Q191</f>
        <v>77184.971010000008</v>
      </c>
      <c r="BN114" s="179"/>
      <c r="BO114" s="179"/>
      <c r="BP114" s="179"/>
      <c r="BQ114" s="179"/>
      <c r="BR114" s="509"/>
      <c r="BS114" s="516" t="s">
        <v>155</v>
      </c>
      <c r="BT114" s="517"/>
      <c r="BU114" s="179"/>
      <c r="BV114" s="179"/>
      <c r="BW114" s="179"/>
      <c r="BX114" s="179"/>
      <c r="BY114" s="179"/>
      <c r="BZ114" s="179"/>
      <c r="CA114" s="179"/>
      <c r="CB114" s="179"/>
      <c r="CC114" s="179"/>
      <c r="CD114" s="179"/>
      <c r="CE114" s="179"/>
      <c r="CF114" s="509"/>
      <c r="CG114" s="516" t="s">
        <v>155</v>
      </c>
      <c r="CH114" s="517" t="s">
        <v>427</v>
      </c>
      <c r="CI114" s="179"/>
      <c r="CJ114" s="179"/>
      <c r="CK114" s="179"/>
      <c r="CL114" s="179"/>
      <c r="CM114" s="179"/>
      <c r="CN114" s="179"/>
      <c r="CO114" s="179"/>
      <c r="CP114" s="179"/>
      <c r="CQ114" s="179"/>
      <c r="CR114" s="179"/>
      <c r="CS114" s="179"/>
      <c r="CT114" s="509"/>
      <c r="CU114" s="516" t="s">
        <v>155</v>
      </c>
      <c r="CV114" s="517" t="s">
        <v>427</v>
      </c>
      <c r="CW114" s="179"/>
      <c r="CX114" s="179"/>
      <c r="CY114" s="179"/>
      <c r="CZ114" s="179"/>
      <c r="DA114" s="179"/>
      <c r="DB114" s="179"/>
      <c r="DC114" s="179"/>
      <c r="DD114" s="179"/>
      <c r="DE114" s="179"/>
      <c r="DF114" s="179"/>
      <c r="DG114" s="179"/>
      <c r="DH114" s="509"/>
      <c r="DI114" s="516" t="s">
        <v>155</v>
      </c>
      <c r="DJ114" s="517" t="s">
        <v>427</v>
      </c>
      <c r="DK114" s="179"/>
      <c r="DL114" s="179"/>
      <c r="DM114" s="179"/>
      <c r="DN114" s="179"/>
      <c r="DO114" s="179"/>
      <c r="DP114" s="179"/>
      <c r="DQ114" s="179"/>
      <c r="DR114" s="179"/>
      <c r="DS114" s="179"/>
      <c r="DT114" s="179"/>
      <c r="DU114" s="179"/>
      <c r="DV114" s="509"/>
      <c r="DW114" s="516" t="s">
        <v>155</v>
      </c>
      <c r="DX114" s="517" t="s">
        <v>427</v>
      </c>
      <c r="DY114" s="179"/>
      <c r="DZ114" s="179"/>
      <c r="EA114" s="179"/>
      <c r="EB114" s="179"/>
      <c r="EC114" s="179"/>
      <c r="ED114" s="179"/>
      <c r="EE114" s="179"/>
      <c r="EF114" s="179"/>
      <c r="EG114" s="179"/>
      <c r="EH114" s="179"/>
      <c r="EI114" s="179"/>
      <c r="EJ114" s="509"/>
      <c r="EK114" s="516" t="s">
        <v>155</v>
      </c>
      <c r="EL114" s="517" t="s">
        <v>427</v>
      </c>
      <c r="EM114" s="179"/>
      <c r="EN114" s="179"/>
      <c r="EO114" s="179"/>
      <c r="EP114" s="179"/>
      <c r="EQ114" s="179"/>
      <c r="ER114" s="179"/>
      <c r="ES114" s="179"/>
      <c r="ET114" s="179"/>
      <c r="EU114" s="179"/>
      <c r="EV114" s="179"/>
      <c r="EW114" s="179"/>
      <c r="EX114" s="509"/>
      <c r="EY114" s="516" t="s">
        <v>155</v>
      </c>
      <c r="EZ114" s="517" t="s">
        <v>427</v>
      </c>
      <c r="FA114" s="179"/>
      <c r="FB114" s="179"/>
      <c r="FC114" s="179"/>
      <c r="FD114" s="179"/>
      <c r="FE114" s="179"/>
      <c r="FF114" s="179"/>
      <c r="FG114" s="179"/>
      <c r="FH114" s="179"/>
      <c r="FI114" s="179"/>
      <c r="FJ114" s="179"/>
      <c r="FK114" s="179"/>
      <c r="FL114" s="509"/>
      <c r="FM114" s="516" t="s">
        <v>155</v>
      </c>
      <c r="FN114" s="517" t="s">
        <v>427</v>
      </c>
      <c r="FO114" s="179"/>
      <c r="FP114" s="179"/>
      <c r="FQ114" s="179"/>
      <c r="FR114" s="179"/>
      <c r="FS114" s="179"/>
      <c r="FT114" s="179"/>
      <c r="FU114" s="179"/>
      <c r="FV114" s="179"/>
      <c r="FW114" s="179"/>
      <c r="FX114" s="179"/>
      <c r="FY114" s="179"/>
      <c r="FZ114" s="509"/>
    </row>
    <row r="115" spans="1:182" s="171" customFormat="1" ht="19.350000000000001" customHeight="1" x14ac:dyDescent="0.2">
      <c r="A115" s="516" t="s">
        <v>156</v>
      </c>
      <c r="B115" s="517"/>
      <c r="C115" s="314">
        <f>'Combustion (Proposed)'!L59</f>
        <v>1.1274509803921567E-2</v>
      </c>
      <c r="D115" s="314">
        <f>'Combustion (Proposed)'!M59</f>
        <v>4.9382352941176461E-2</v>
      </c>
      <c r="E115" s="314">
        <f>'Combustion (Proposed)'!N59</f>
        <v>4.9382352941176461E-2</v>
      </c>
      <c r="F115" s="263"/>
      <c r="G115" s="263"/>
      <c r="H115" s="263"/>
      <c r="I115" s="263"/>
      <c r="J115" s="263"/>
      <c r="K115" s="263"/>
      <c r="L115" s="263"/>
      <c r="M115" s="263"/>
      <c r="N115" s="508"/>
      <c r="O115" s="516" t="s">
        <v>156</v>
      </c>
      <c r="P115" s="517"/>
      <c r="Q115" s="263">
        <f>'Combustion (Proposed)'!O126</f>
        <v>3.9641176470588228E-2</v>
      </c>
      <c r="R115" s="263">
        <f>'Combustion (Proposed)'!P126</f>
        <v>0.17362835294117646</v>
      </c>
      <c r="S115" s="263">
        <f>'Combustion (Proposed)'!Q126</f>
        <v>0.17362835294117646</v>
      </c>
      <c r="T115" s="263"/>
      <c r="U115" s="263"/>
      <c r="V115" s="263"/>
      <c r="W115" s="263"/>
      <c r="X115" s="263"/>
      <c r="Y115" s="179"/>
      <c r="Z115" s="179"/>
      <c r="AA115" s="179"/>
      <c r="AB115" s="509"/>
      <c r="AC115" s="516" t="s">
        <v>156</v>
      </c>
      <c r="AD115" s="517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509"/>
      <c r="AQ115" s="516" t="s">
        <v>156</v>
      </c>
      <c r="AR115" s="517"/>
      <c r="AS115" s="179"/>
      <c r="AT115" s="179"/>
      <c r="AU115" s="179"/>
      <c r="AV115" s="179"/>
      <c r="AW115" s="179"/>
      <c r="AX115" s="179"/>
      <c r="AY115" s="179"/>
      <c r="AZ115" s="179"/>
      <c r="BA115" s="179"/>
      <c r="BB115" s="179"/>
      <c r="BC115" s="179"/>
      <c r="BD115" s="509"/>
      <c r="BE115" s="516" t="s">
        <v>156</v>
      </c>
      <c r="BF115" s="517"/>
      <c r="BG115" s="179"/>
      <c r="BH115" s="179"/>
      <c r="BI115" s="179"/>
      <c r="BJ115" s="179"/>
      <c r="BK115" s="314">
        <f>'Combustion (Proposed)'!O194</f>
        <v>0.22098039215686274</v>
      </c>
      <c r="BL115" s="314">
        <f>'Combustion (Proposed)'!P194</f>
        <v>0.96789411764705879</v>
      </c>
      <c r="BM115" s="314">
        <f>'Combustion (Proposed)'!Q194</f>
        <v>0.96789411764705879</v>
      </c>
      <c r="BN115" s="179"/>
      <c r="BO115" s="179"/>
      <c r="BP115" s="179"/>
      <c r="BQ115" s="179"/>
      <c r="BR115" s="509"/>
      <c r="BS115" s="516" t="s">
        <v>156</v>
      </c>
      <c r="BT115" s="517"/>
      <c r="BU115" s="179"/>
      <c r="BV115" s="179"/>
      <c r="BW115" s="179"/>
      <c r="BX115" s="179"/>
      <c r="BY115" s="179"/>
      <c r="BZ115" s="179"/>
      <c r="CA115" s="179"/>
      <c r="CB115" s="179"/>
      <c r="CC115" s="179"/>
      <c r="CD115" s="179"/>
      <c r="CE115" s="179"/>
      <c r="CF115" s="509"/>
      <c r="CG115" s="516" t="s">
        <v>156</v>
      </c>
      <c r="CH115" s="517" t="s">
        <v>428</v>
      </c>
      <c r="CI115" s="179"/>
      <c r="CJ115" s="179"/>
      <c r="CK115" s="179"/>
      <c r="CL115" s="179"/>
      <c r="CM115" s="179"/>
      <c r="CN115" s="179"/>
      <c r="CO115" s="179"/>
      <c r="CP115" s="179"/>
      <c r="CQ115" s="179"/>
      <c r="CR115" s="179"/>
      <c r="CS115" s="179"/>
      <c r="CT115" s="509"/>
      <c r="CU115" s="516" t="s">
        <v>156</v>
      </c>
      <c r="CV115" s="517" t="s">
        <v>428</v>
      </c>
      <c r="CW115" s="179"/>
      <c r="CX115" s="179"/>
      <c r="CY115" s="179"/>
      <c r="CZ115" s="179"/>
      <c r="DA115" s="179"/>
      <c r="DB115" s="179"/>
      <c r="DC115" s="179"/>
      <c r="DD115" s="179"/>
      <c r="DE115" s="179"/>
      <c r="DF115" s="179"/>
      <c r="DG115" s="179"/>
      <c r="DH115" s="509"/>
      <c r="DI115" s="516" t="s">
        <v>156</v>
      </c>
      <c r="DJ115" s="517" t="s">
        <v>428</v>
      </c>
      <c r="DK115" s="179"/>
      <c r="DL115" s="179"/>
      <c r="DM115" s="179"/>
      <c r="DN115" s="179"/>
      <c r="DO115" s="179"/>
      <c r="DP115" s="179"/>
      <c r="DQ115" s="179"/>
      <c r="DR115" s="179"/>
      <c r="DS115" s="179"/>
      <c r="DT115" s="179"/>
      <c r="DU115" s="179"/>
      <c r="DV115" s="509"/>
      <c r="DW115" s="516" t="s">
        <v>156</v>
      </c>
      <c r="DX115" s="517" t="s">
        <v>428</v>
      </c>
      <c r="DY115" s="179"/>
      <c r="DZ115" s="179"/>
      <c r="EA115" s="179"/>
      <c r="EB115" s="179"/>
      <c r="EC115" s="179"/>
      <c r="ED115" s="179"/>
      <c r="EE115" s="179"/>
      <c r="EF115" s="179"/>
      <c r="EG115" s="179"/>
      <c r="EH115" s="179"/>
      <c r="EI115" s="179"/>
      <c r="EJ115" s="509"/>
      <c r="EK115" s="516" t="s">
        <v>156</v>
      </c>
      <c r="EL115" s="517" t="s">
        <v>428</v>
      </c>
      <c r="EM115" s="179"/>
      <c r="EN115" s="179"/>
      <c r="EO115" s="179"/>
      <c r="EP115" s="179"/>
      <c r="EQ115" s="179"/>
      <c r="ER115" s="179"/>
      <c r="ES115" s="179"/>
      <c r="ET115" s="179"/>
      <c r="EU115" s="179"/>
      <c r="EV115" s="179"/>
      <c r="EW115" s="179"/>
      <c r="EX115" s="509"/>
      <c r="EY115" s="516" t="s">
        <v>156</v>
      </c>
      <c r="EZ115" s="517" t="s">
        <v>428</v>
      </c>
      <c r="FA115" s="179"/>
      <c r="FB115" s="179"/>
      <c r="FC115" s="179"/>
      <c r="FD115" s="179"/>
      <c r="FE115" s="179"/>
      <c r="FF115" s="179"/>
      <c r="FG115" s="179"/>
      <c r="FH115" s="179"/>
      <c r="FI115" s="179"/>
      <c r="FJ115" s="179"/>
      <c r="FK115" s="179"/>
      <c r="FL115" s="509"/>
      <c r="FM115" s="516" t="s">
        <v>156</v>
      </c>
      <c r="FN115" s="517" t="s">
        <v>428</v>
      </c>
      <c r="FO115" s="179"/>
      <c r="FP115" s="179"/>
      <c r="FQ115" s="179"/>
      <c r="FR115" s="179"/>
      <c r="FS115" s="179"/>
      <c r="FT115" s="179"/>
      <c r="FU115" s="179"/>
      <c r="FV115" s="179"/>
      <c r="FW115" s="179"/>
      <c r="FX115" s="179"/>
      <c r="FY115" s="179"/>
      <c r="FZ115" s="509"/>
    </row>
    <row r="116" spans="1:182" s="171" customFormat="1" ht="19.350000000000001" customHeight="1" x14ac:dyDescent="0.2">
      <c r="A116" s="516" t="s">
        <v>157</v>
      </c>
      <c r="B116" s="517"/>
      <c r="C116" s="314">
        <f>'Combustion (Proposed)'!L60</f>
        <v>4.9180327868852458E-2</v>
      </c>
      <c r="D116" s="314">
        <f>'Combustion (Proposed)'!M60</f>
        <v>0.21540983606557376</v>
      </c>
      <c r="E116" s="314">
        <f>'Combustion (Proposed)'!N60</f>
        <v>0.21540983606557376</v>
      </c>
      <c r="F116" s="263"/>
      <c r="G116" s="263"/>
      <c r="H116" s="263"/>
      <c r="I116" s="263"/>
      <c r="J116" s="263"/>
      <c r="K116" s="263"/>
      <c r="L116" s="263"/>
      <c r="M116" s="263"/>
      <c r="N116" s="508"/>
      <c r="O116" s="516" t="s">
        <v>157</v>
      </c>
      <c r="P116" s="517"/>
      <c r="Q116" s="263">
        <f>'Combustion (Proposed)'!O127</f>
        <v>0.17291803278688525</v>
      </c>
      <c r="R116" s="263">
        <f>'Combustion (Proposed)'!P127</f>
        <v>0.75738098360655737</v>
      </c>
      <c r="S116" s="263">
        <f>'Combustion (Proposed)'!Q127</f>
        <v>0.75738098360655737</v>
      </c>
      <c r="T116" s="263"/>
      <c r="U116" s="263"/>
      <c r="V116" s="263"/>
      <c r="W116" s="263"/>
      <c r="X116" s="263"/>
      <c r="Y116" s="179"/>
      <c r="Z116" s="179"/>
      <c r="AA116" s="179"/>
      <c r="AB116" s="509"/>
      <c r="AC116" s="516" t="s">
        <v>157</v>
      </c>
      <c r="AD116" s="517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509"/>
      <c r="AQ116" s="516" t="s">
        <v>157</v>
      </c>
      <c r="AR116" s="517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509"/>
      <c r="BE116" s="516" t="s">
        <v>157</v>
      </c>
      <c r="BF116" s="517"/>
      <c r="BG116" s="179"/>
      <c r="BH116" s="179"/>
      <c r="BI116" s="179"/>
      <c r="BJ116" s="179"/>
      <c r="BK116" s="314">
        <f>'Combustion (Proposed)'!O195</f>
        <v>0.96393442622950831</v>
      </c>
      <c r="BL116" s="314">
        <f>'Combustion (Proposed)'!P195</f>
        <v>4.2220327868852463</v>
      </c>
      <c r="BM116" s="314">
        <f>'Combustion (Proposed)'!Q195</f>
        <v>4.2220327868852463</v>
      </c>
      <c r="BN116" s="179"/>
      <c r="BO116" s="179"/>
      <c r="BP116" s="179"/>
      <c r="BQ116" s="179"/>
      <c r="BR116" s="509"/>
      <c r="BS116" s="516" t="s">
        <v>157</v>
      </c>
      <c r="BT116" s="517"/>
      <c r="BU116" s="179"/>
      <c r="BV116" s="179"/>
      <c r="BW116" s="179"/>
      <c r="BX116" s="179"/>
      <c r="BY116" s="179"/>
      <c r="BZ116" s="179"/>
      <c r="CA116" s="179"/>
      <c r="CB116" s="179"/>
      <c r="CC116" s="179"/>
      <c r="CD116" s="179"/>
      <c r="CE116" s="179"/>
      <c r="CF116" s="509"/>
      <c r="CG116" s="516" t="s">
        <v>157</v>
      </c>
      <c r="CH116" s="517" t="s">
        <v>429</v>
      </c>
      <c r="CI116" s="179"/>
      <c r="CJ116" s="179"/>
      <c r="CK116" s="179"/>
      <c r="CL116" s="179"/>
      <c r="CM116" s="179"/>
      <c r="CN116" s="179"/>
      <c r="CO116" s="179"/>
      <c r="CP116" s="179"/>
      <c r="CQ116" s="179"/>
      <c r="CR116" s="179"/>
      <c r="CS116" s="179"/>
      <c r="CT116" s="509"/>
      <c r="CU116" s="516" t="s">
        <v>157</v>
      </c>
      <c r="CV116" s="517" t="s">
        <v>429</v>
      </c>
      <c r="CW116" s="179"/>
      <c r="CX116" s="179"/>
      <c r="CY116" s="179"/>
      <c r="CZ116" s="179"/>
      <c r="DA116" s="179"/>
      <c r="DB116" s="179"/>
      <c r="DC116" s="179"/>
      <c r="DD116" s="179"/>
      <c r="DE116" s="179"/>
      <c r="DF116" s="179"/>
      <c r="DG116" s="179"/>
      <c r="DH116" s="509"/>
      <c r="DI116" s="516" t="s">
        <v>157</v>
      </c>
      <c r="DJ116" s="517" t="s">
        <v>429</v>
      </c>
      <c r="DK116" s="179"/>
      <c r="DL116" s="179"/>
      <c r="DM116" s="179"/>
      <c r="DN116" s="179"/>
      <c r="DO116" s="179"/>
      <c r="DP116" s="179"/>
      <c r="DQ116" s="179"/>
      <c r="DR116" s="179"/>
      <c r="DS116" s="179"/>
      <c r="DT116" s="179"/>
      <c r="DU116" s="179"/>
      <c r="DV116" s="509"/>
      <c r="DW116" s="516" t="s">
        <v>157</v>
      </c>
      <c r="DX116" s="517" t="s">
        <v>429</v>
      </c>
      <c r="DY116" s="179"/>
      <c r="DZ116" s="179"/>
      <c r="EA116" s="179"/>
      <c r="EB116" s="179"/>
      <c r="EC116" s="179"/>
      <c r="ED116" s="179"/>
      <c r="EE116" s="179"/>
      <c r="EF116" s="179"/>
      <c r="EG116" s="179"/>
      <c r="EH116" s="179"/>
      <c r="EI116" s="179"/>
      <c r="EJ116" s="509"/>
      <c r="EK116" s="516" t="s">
        <v>157</v>
      </c>
      <c r="EL116" s="517" t="s">
        <v>429</v>
      </c>
      <c r="EM116" s="179"/>
      <c r="EN116" s="179"/>
      <c r="EO116" s="179"/>
      <c r="EP116" s="179"/>
      <c r="EQ116" s="179"/>
      <c r="ER116" s="179"/>
      <c r="ES116" s="179"/>
      <c r="ET116" s="179"/>
      <c r="EU116" s="179"/>
      <c r="EV116" s="179"/>
      <c r="EW116" s="179"/>
      <c r="EX116" s="509"/>
      <c r="EY116" s="516" t="s">
        <v>157</v>
      </c>
      <c r="EZ116" s="517" t="s">
        <v>429</v>
      </c>
      <c r="FA116" s="179"/>
      <c r="FB116" s="179"/>
      <c r="FC116" s="179"/>
      <c r="FD116" s="179"/>
      <c r="FE116" s="179"/>
      <c r="FF116" s="179"/>
      <c r="FG116" s="179"/>
      <c r="FH116" s="179"/>
      <c r="FI116" s="179"/>
      <c r="FJ116" s="179"/>
      <c r="FK116" s="179"/>
      <c r="FL116" s="509"/>
      <c r="FM116" s="516" t="s">
        <v>157</v>
      </c>
      <c r="FN116" s="517" t="s">
        <v>429</v>
      </c>
      <c r="FO116" s="179"/>
      <c r="FP116" s="179"/>
      <c r="FQ116" s="179"/>
      <c r="FR116" s="179"/>
      <c r="FS116" s="179"/>
      <c r="FT116" s="179"/>
      <c r="FU116" s="179"/>
      <c r="FV116" s="179"/>
      <c r="FW116" s="179"/>
      <c r="FX116" s="179"/>
      <c r="FY116" s="179"/>
      <c r="FZ116" s="509"/>
    </row>
    <row r="117" spans="1:182" s="171" customFormat="1" ht="19.350000000000001" customHeight="1" x14ac:dyDescent="0.2">
      <c r="A117" s="516" t="s">
        <v>158</v>
      </c>
      <c r="B117" s="518"/>
      <c r="C117" s="316">
        <f>'Combustion (Proposed)'!L61</f>
        <v>796.41127102603491</v>
      </c>
      <c r="D117" s="316">
        <f>'Combustion (Proposed)'!M61</f>
        <v>3488.2813670940332</v>
      </c>
      <c r="E117" s="316">
        <f>'Combustion (Proposed)'!N61</f>
        <v>3488.2813670940332</v>
      </c>
      <c r="F117" s="263"/>
      <c r="G117" s="263"/>
      <c r="H117" s="263"/>
      <c r="I117" s="263"/>
      <c r="J117" s="263"/>
      <c r="K117" s="263"/>
      <c r="L117" s="263"/>
      <c r="M117" s="263"/>
      <c r="N117" s="508"/>
      <c r="O117" s="516" t="s">
        <v>158</v>
      </c>
      <c r="P117" s="518"/>
      <c r="Q117" s="316">
        <f>'Combustion (Proposed)'!O128</f>
        <v>3161.2615304999995</v>
      </c>
      <c r="R117" s="316">
        <f>'Combustion (Proposed)'!P128</f>
        <v>13846.325503589997</v>
      </c>
      <c r="S117" s="316">
        <f>'Combustion (Proposed)'!Q128</f>
        <v>13846.325503589997</v>
      </c>
      <c r="T117" s="263"/>
      <c r="U117" s="263"/>
      <c r="V117" s="263"/>
      <c r="W117" s="263"/>
      <c r="X117" s="263"/>
      <c r="Y117" s="316"/>
      <c r="Z117" s="316"/>
      <c r="AA117" s="316"/>
      <c r="AB117" s="509"/>
      <c r="AC117" s="516" t="s">
        <v>158</v>
      </c>
      <c r="AD117" s="518"/>
      <c r="AE117" s="316"/>
      <c r="AF117" s="316"/>
      <c r="AG117" s="316"/>
      <c r="AH117" s="179"/>
      <c r="AI117" s="316"/>
      <c r="AJ117" s="316"/>
      <c r="AK117" s="316"/>
      <c r="AL117" s="179"/>
      <c r="AM117" s="316"/>
      <c r="AN117" s="316"/>
      <c r="AO117" s="316"/>
      <c r="AP117" s="509"/>
      <c r="AQ117" s="516" t="s">
        <v>158</v>
      </c>
      <c r="AR117" s="518"/>
      <c r="AS117" s="179"/>
      <c r="AT117" s="179"/>
      <c r="AU117" s="179"/>
      <c r="AV117" s="179"/>
      <c r="AW117" s="316"/>
      <c r="AX117" s="316"/>
      <c r="AY117" s="316"/>
      <c r="AZ117" s="179"/>
      <c r="BA117" s="316"/>
      <c r="BB117" s="316"/>
      <c r="BC117" s="316"/>
      <c r="BD117" s="509"/>
      <c r="BE117" s="516" t="s">
        <v>158</v>
      </c>
      <c r="BF117" s="507"/>
      <c r="BG117" s="179"/>
      <c r="BH117" s="179"/>
      <c r="BI117" s="179"/>
      <c r="BJ117" s="179"/>
      <c r="BK117" s="316">
        <f>'Combustion (Proposed)'!O196</f>
        <v>17622.504550000001</v>
      </c>
      <c r="BL117" s="316">
        <f>'Combustion (Proposed)'!P196</f>
        <v>77186.569929000005</v>
      </c>
      <c r="BM117" s="316">
        <f>'Combustion (Proposed)'!Q196</f>
        <v>77186.569929000005</v>
      </c>
      <c r="BN117" s="179"/>
      <c r="BO117" s="179"/>
      <c r="BP117" s="179"/>
      <c r="BQ117" s="179"/>
      <c r="BR117" s="509"/>
      <c r="BS117" s="516" t="s">
        <v>158</v>
      </c>
      <c r="BT117" s="507"/>
      <c r="BU117" s="179"/>
      <c r="BV117" s="179"/>
      <c r="BW117" s="179"/>
      <c r="BX117" s="179"/>
      <c r="BY117" s="179"/>
      <c r="BZ117" s="179"/>
      <c r="CA117" s="179"/>
      <c r="CB117" s="179"/>
      <c r="CC117" s="179"/>
      <c r="CD117" s="179"/>
      <c r="CE117" s="179"/>
      <c r="CF117" s="509"/>
      <c r="CG117" s="516" t="s">
        <v>158</v>
      </c>
      <c r="CH117" s="518"/>
      <c r="CI117" s="179"/>
      <c r="CJ117" s="179"/>
      <c r="CK117" s="179"/>
      <c r="CL117" s="179"/>
      <c r="CM117" s="179"/>
      <c r="CN117" s="179"/>
      <c r="CO117" s="179"/>
      <c r="CP117" s="179"/>
      <c r="CQ117" s="179"/>
      <c r="CR117" s="179"/>
      <c r="CS117" s="179"/>
      <c r="CT117" s="509"/>
      <c r="CU117" s="516" t="s">
        <v>158</v>
      </c>
      <c r="CV117" s="518"/>
      <c r="CW117" s="179"/>
      <c r="CX117" s="179"/>
      <c r="CY117" s="179"/>
      <c r="CZ117" s="179"/>
      <c r="DA117" s="179"/>
      <c r="DB117" s="179"/>
      <c r="DC117" s="179"/>
      <c r="DD117" s="179"/>
      <c r="DE117" s="179"/>
      <c r="DF117" s="179"/>
      <c r="DG117" s="179"/>
      <c r="DH117" s="509"/>
      <c r="DI117" s="516" t="s">
        <v>158</v>
      </c>
      <c r="DJ117" s="518"/>
      <c r="DK117" s="179"/>
      <c r="DL117" s="179"/>
      <c r="DM117" s="179"/>
      <c r="DN117" s="179"/>
      <c r="DO117" s="179"/>
      <c r="DP117" s="179"/>
      <c r="DQ117" s="179"/>
      <c r="DR117" s="179"/>
      <c r="DS117" s="179"/>
      <c r="DT117" s="179"/>
      <c r="DU117" s="179"/>
      <c r="DV117" s="509"/>
      <c r="DW117" s="516" t="s">
        <v>158</v>
      </c>
      <c r="DX117" s="518"/>
      <c r="DY117" s="179"/>
      <c r="DZ117" s="179"/>
      <c r="EA117" s="179"/>
      <c r="EB117" s="179"/>
      <c r="EC117" s="179"/>
      <c r="ED117" s="179"/>
      <c r="EE117" s="179"/>
      <c r="EF117" s="179"/>
      <c r="EG117" s="179"/>
      <c r="EH117" s="179"/>
      <c r="EI117" s="179"/>
      <c r="EJ117" s="509"/>
      <c r="EK117" s="516" t="s">
        <v>158</v>
      </c>
      <c r="EL117" s="517"/>
      <c r="EM117" s="179"/>
      <c r="EN117" s="179"/>
      <c r="EO117" s="179"/>
      <c r="EP117" s="179"/>
      <c r="EQ117" s="179"/>
      <c r="ER117" s="179"/>
      <c r="ES117" s="179"/>
      <c r="ET117" s="179"/>
      <c r="EU117" s="179"/>
      <c r="EV117" s="179"/>
      <c r="EW117" s="179"/>
      <c r="EX117" s="509"/>
      <c r="EY117" s="516" t="s">
        <v>158</v>
      </c>
      <c r="EZ117" s="518"/>
      <c r="FA117" s="179"/>
      <c r="FB117" s="179"/>
      <c r="FC117" s="179"/>
      <c r="FD117" s="179"/>
      <c r="FE117" s="179"/>
      <c r="FF117" s="179"/>
      <c r="FG117" s="179"/>
      <c r="FH117" s="179"/>
      <c r="FI117" s="179"/>
      <c r="FJ117" s="179"/>
      <c r="FK117" s="179"/>
      <c r="FL117" s="509"/>
      <c r="FM117" s="516" t="s">
        <v>158</v>
      </c>
      <c r="FN117" s="518"/>
      <c r="FO117" s="179"/>
      <c r="FP117" s="179"/>
      <c r="FQ117" s="179"/>
      <c r="FR117" s="179"/>
      <c r="FS117" s="179"/>
      <c r="FT117" s="179"/>
      <c r="FU117" s="179"/>
      <c r="FV117" s="179"/>
      <c r="FW117" s="179"/>
      <c r="FX117" s="179"/>
      <c r="FY117" s="179"/>
      <c r="FZ117" s="509"/>
    </row>
    <row r="118" spans="1:182" ht="19.350000000000001" customHeight="1" x14ac:dyDescent="0.2">
      <c r="A118" s="303"/>
      <c r="B118" s="507"/>
      <c r="C118" s="510"/>
      <c r="D118" s="510"/>
      <c r="E118" s="510"/>
      <c r="F118" s="263"/>
      <c r="G118" s="263"/>
      <c r="H118" s="263"/>
      <c r="I118" s="263"/>
      <c r="J118" s="263"/>
      <c r="K118" s="263"/>
      <c r="L118" s="263"/>
      <c r="M118" s="263"/>
      <c r="N118" s="508"/>
      <c r="O118" s="303"/>
      <c r="P118" s="507"/>
      <c r="Q118" s="179"/>
      <c r="R118" s="179"/>
      <c r="S118" s="179"/>
      <c r="T118" s="263"/>
      <c r="U118" s="263"/>
      <c r="V118" s="263"/>
      <c r="W118" s="263"/>
      <c r="X118" s="263"/>
      <c r="Y118" s="179"/>
      <c r="Z118" s="179"/>
      <c r="AA118" s="179"/>
      <c r="AB118" s="509"/>
      <c r="AC118" s="303"/>
      <c r="AD118" s="507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509"/>
      <c r="AQ118" s="303"/>
      <c r="AR118" s="507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509"/>
      <c r="BE118" s="303"/>
      <c r="BF118" s="507"/>
      <c r="BG118" s="179"/>
      <c r="BH118" s="179"/>
      <c r="BI118" s="179"/>
      <c r="BJ118" s="179"/>
      <c r="BK118" s="179"/>
      <c r="BL118" s="179"/>
      <c r="BM118" s="179"/>
      <c r="BN118" s="179"/>
      <c r="BO118" s="179"/>
      <c r="BP118" s="179"/>
      <c r="BQ118" s="179"/>
      <c r="BR118" s="509"/>
      <c r="BS118" s="303"/>
      <c r="BT118" s="507"/>
      <c r="BU118" s="179"/>
      <c r="BV118" s="179"/>
      <c r="BW118" s="179"/>
      <c r="BX118" s="179"/>
      <c r="BY118" s="179"/>
      <c r="BZ118" s="179"/>
      <c r="CA118" s="179"/>
      <c r="CB118" s="179"/>
      <c r="CC118" s="179"/>
      <c r="CD118" s="179"/>
      <c r="CE118" s="179"/>
      <c r="CF118" s="509"/>
      <c r="CG118" s="303"/>
      <c r="CH118" s="507"/>
      <c r="CI118" s="179"/>
      <c r="CJ118" s="179"/>
      <c r="CK118" s="179"/>
      <c r="CL118" s="179"/>
      <c r="CM118" s="179"/>
      <c r="CN118" s="179"/>
      <c r="CO118" s="179"/>
      <c r="CP118" s="179"/>
      <c r="CQ118" s="179"/>
      <c r="CR118" s="179"/>
      <c r="CS118" s="179"/>
      <c r="CT118" s="509"/>
      <c r="CU118" s="303"/>
      <c r="CV118" s="507"/>
      <c r="CW118" s="179"/>
      <c r="CX118" s="179"/>
      <c r="CY118" s="179"/>
      <c r="CZ118" s="179"/>
      <c r="DA118" s="179"/>
      <c r="DB118" s="179"/>
      <c r="DC118" s="179"/>
      <c r="DD118" s="179"/>
      <c r="DE118" s="179"/>
      <c r="DF118" s="179"/>
      <c r="DG118" s="179"/>
      <c r="DH118" s="509"/>
      <c r="DI118" s="303"/>
      <c r="DJ118" s="507"/>
      <c r="DK118" s="179"/>
      <c r="DL118" s="179"/>
      <c r="DM118" s="179"/>
      <c r="DN118" s="179"/>
      <c r="DO118" s="179"/>
      <c r="DP118" s="179"/>
      <c r="DQ118" s="179"/>
      <c r="DR118" s="179"/>
      <c r="DS118" s="179"/>
      <c r="DT118" s="179"/>
      <c r="DU118" s="179"/>
      <c r="DV118" s="509"/>
      <c r="DW118" s="303"/>
      <c r="DX118" s="507"/>
      <c r="DY118" s="179"/>
      <c r="DZ118" s="179"/>
      <c r="EA118" s="179"/>
      <c r="EB118" s="179"/>
      <c r="EC118" s="179"/>
      <c r="ED118" s="179"/>
      <c r="EE118" s="179"/>
      <c r="EF118" s="179"/>
      <c r="EG118" s="179"/>
      <c r="EH118" s="179"/>
      <c r="EI118" s="179"/>
      <c r="EJ118" s="509"/>
      <c r="EK118" s="303"/>
      <c r="EL118" s="507"/>
      <c r="EM118" s="179"/>
      <c r="EN118" s="179"/>
      <c r="EO118" s="179"/>
      <c r="EP118" s="510"/>
      <c r="EQ118" s="179"/>
      <c r="ER118" s="179"/>
      <c r="ES118" s="179"/>
      <c r="ET118" s="510"/>
      <c r="EU118" s="179"/>
      <c r="EV118" s="179"/>
      <c r="EW118" s="179"/>
      <c r="EX118" s="511"/>
      <c r="EY118" s="303"/>
      <c r="EZ118" s="507"/>
      <c r="FA118" s="179"/>
      <c r="FB118" s="179"/>
      <c r="FC118" s="179"/>
      <c r="FD118" s="510"/>
      <c r="FE118" s="179"/>
      <c r="FF118" s="179"/>
      <c r="FG118" s="179"/>
      <c r="FH118" s="510"/>
      <c r="FI118" s="179"/>
      <c r="FJ118" s="179"/>
      <c r="FK118" s="179"/>
      <c r="FL118" s="511"/>
      <c r="FM118" s="303"/>
      <c r="FN118" s="507"/>
      <c r="FO118" s="179"/>
      <c r="FP118" s="179"/>
      <c r="FQ118" s="179"/>
      <c r="FR118" s="510"/>
      <c r="FS118" s="179"/>
      <c r="FT118" s="179"/>
      <c r="FU118" s="179"/>
      <c r="FV118" s="510"/>
      <c r="FW118" s="179"/>
      <c r="FX118" s="179"/>
      <c r="FY118" s="179"/>
      <c r="FZ118" s="511"/>
    </row>
    <row r="119" spans="1:182" ht="19.350000000000001" customHeight="1" x14ac:dyDescent="0.2">
      <c r="A119" s="303"/>
      <c r="B119" s="507"/>
      <c r="C119" s="510"/>
      <c r="D119" s="510"/>
      <c r="E119" s="510"/>
      <c r="F119" s="263"/>
      <c r="G119" s="263"/>
      <c r="H119" s="263"/>
      <c r="I119" s="263"/>
      <c r="J119" s="263"/>
      <c r="K119" s="263"/>
      <c r="L119" s="263"/>
      <c r="M119" s="263"/>
      <c r="N119" s="508"/>
      <c r="O119" s="303"/>
      <c r="P119" s="507"/>
      <c r="Q119" s="179"/>
      <c r="R119" s="179"/>
      <c r="S119" s="179"/>
      <c r="T119" s="263"/>
      <c r="U119" s="263"/>
      <c r="V119" s="263"/>
      <c r="W119" s="263"/>
      <c r="X119" s="263"/>
      <c r="Y119" s="179"/>
      <c r="Z119" s="179"/>
      <c r="AA119" s="179"/>
      <c r="AB119" s="509"/>
      <c r="AC119" s="303"/>
      <c r="AD119" s="507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509"/>
      <c r="AQ119" s="303"/>
      <c r="AR119" s="507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509"/>
      <c r="BE119" s="303"/>
      <c r="BF119" s="507"/>
      <c r="BG119" s="179"/>
      <c r="BH119" s="179"/>
      <c r="BI119" s="179"/>
      <c r="BJ119" s="179"/>
      <c r="BK119" s="179"/>
      <c r="BL119" s="179"/>
      <c r="BM119" s="179"/>
      <c r="BN119" s="179"/>
      <c r="BO119" s="179"/>
      <c r="BP119" s="179"/>
      <c r="BQ119" s="179"/>
      <c r="BR119" s="509"/>
      <c r="BS119" s="303"/>
      <c r="BT119" s="507"/>
      <c r="BU119" s="179"/>
      <c r="BV119" s="179"/>
      <c r="BW119" s="179"/>
      <c r="BX119" s="179"/>
      <c r="BY119" s="179"/>
      <c r="BZ119" s="179"/>
      <c r="CA119" s="179"/>
      <c r="CB119" s="179"/>
      <c r="CC119" s="179"/>
      <c r="CD119" s="179"/>
      <c r="CE119" s="179"/>
      <c r="CF119" s="509"/>
      <c r="CG119" s="303"/>
      <c r="CH119" s="507"/>
      <c r="CI119" s="179"/>
      <c r="CJ119" s="179"/>
      <c r="CK119" s="179"/>
      <c r="CL119" s="179"/>
      <c r="CM119" s="179"/>
      <c r="CN119" s="179"/>
      <c r="CO119" s="179"/>
      <c r="CP119" s="179"/>
      <c r="CQ119" s="179"/>
      <c r="CR119" s="179"/>
      <c r="CS119" s="179"/>
      <c r="CT119" s="509"/>
      <c r="CU119" s="303"/>
      <c r="CV119" s="507"/>
      <c r="CW119" s="179"/>
      <c r="CX119" s="179"/>
      <c r="CY119" s="179"/>
      <c r="CZ119" s="179"/>
      <c r="DA119" s="179"/>
      <c r="DB119" s="179"/>
      <c r="DC119" s="179"/>
      <c r="DD119" s="179"/>
      <c r="DE119" s="179"/>
      <c r="DF119" s="179"/>
      <c r="DG119" s="179"/>
      <c r="DH119" s="509"/>
      <c r="DI119" s="303"/>
      <c r="DJ119" s="507"/>
      <c r="DK119" s="179"/>
      <c r="DL119" s="179"/>
      <c r="DM119" s="179"/>
      <c r="DN119" s="179"/>
      <c r="DO119" s="179"/>
      <c r="DP119" s="179"/>
      <c r="DQ119" s="179"/>
      <c r="DR119" s="179"/>
      <c r="DS119" s="179"/>
      <c r="DT119" s="179"/>
      <c r="DU119" s="179"/>
      <c r="DV119" s="509"/>
      <c r="DW119" s="303"/>
      <c r="DX119" s="507"/>
      <c r="DY119" s="179"/>
      <c r="DZ119" s="179"/>
      <c r="EA119" s="179"/>
      <c r="EB119" s="179"/>
      <c r="EC119" s="179"/>
      <c r="ED119" s="179"/>
      <c r="EE119" s="179"/>
      <c r="EF119" s="179"/>
      <c r="EG119" s="179"/>
      <c r="EH119" s="179"/>
      <c r="EI119" s="179"/>
      <c r="EJ119" s="509"/>
      <c r="EK119" s="303"/>
      <c r="EL119" s="507"/>
      <c r="EM119" s="179"/>
      <c r="EN119" s="179"/>
      <c r="EO119" s="179"/>
      <c r="EP119" s="510"/>
      <c r="EQ119" s="179"/>
      <c r="ER119" s="179"/>
      <c r="ES119" s="179"/>
      <c r="ET119" s="510"/>
      <c r="EU119" s="179"/>
      <c r="EV119" s="179"/>
      <c r="EW119" s="179"/>
      <c r="EX119" s="511"/>
      <c r="EY119" s="303"/>
      <c r="EZ119" s="507"/>
      <c r="FA119" s="179"/>
      <c r="FB119" s="179"/>
      <c r="FC119" s="179"/>
      <c r="FD119" s="510"/>
      <c r="FE119" s="179"/>
      <c r="FF119" s="179"/>
      <c r="FG119" s="179"/>
      <c r="FH119" s="510"/>
      <c r="FI119" s="179"/>
      <c r="FJ119" s="179"/>
      <c r="FK119" s="179"/>
      <c r="FL119" s="511"/>
      <c r="FM119" s="303"/>
      <c r="FN119" s="507"/>
      <c r="FO119" s="179"/>
      <c r="FP119" s="179"/>
      <c r="FQ119" s="179"/>
      <c r="FR119" s="510"/>
      <c r="FS119" s="179"/>
      <c r="FT119" s="179"/>
      <c r="FU119" s="179"/>
      <c r="FV119" s="510"/>
      <c r="FW119" s="179"/>
      <c r="FX119" s="179"/>
      <c r="FY119" s="179"/>
      <c r="FZ119" s="511"/>
    </row>
    <row r="120" spans="1:182" ht="19.350000000000001" customHeight="1" x14ac:dyDescent="0.2">
      <c r="A120" s="303"/>
      <c r="B120" s="507"/>
      <c r="C120" s="510"/>
      <c r="D120" s="510"/>
      <c r="E120" s="510"/>
      <c r="F120" s="263"/>
      <c r="G120" s="263"/>
      <c r="H120" s="263"/>
      <c r="I120" s="263"/>
      <c r="J120" s="263"/>
      <c r="K120" s="263"/>
      <c r="L120" s="263"/>
      <c r="M120" s="263"/>
      <c r="N120" s="508"/>
      <c r="O120" s="303"/>
      <c r="P120" s="507"/>
      <c r="Q120" s="179"/>
      <c r="R120" s="179"/>
      <c r="S120" s="179"/>
      <c r="T120" s="263"/>
      <c r="U120" s="263"/>
      <c r="V120" s="263"/>
      <c r="W120" s="263"/>
      <c r="X120" s="263"/>
      <c r="Y120" s="179"/>
      <c r="Z120" s="179"/>
      <c r="AA120" s="179"/>
      <c r="AB120" s="509"/>
      <c r="AC120" s="303"/>
      <c r="AD120" s="507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509"/>
      <c r="AQ120" s="303"/>
      <c r="AR120" s="507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  <c r="BD120" s="509"/>
      <c r="BE120" s="303"/>
      <c r="BF120" s="507"/>
      <c r="BG120" s="179"/>
      <c r="BH120" s="179"/>
      <c r="BI120" s="179"/>
      <c r="BJ120" s="179"/>
      <c r="BK120" s="179"/>
      <c r="BL120" s="179"/>
      <c r="BM120" s="179"/>
      <c r="BN120" s="179"/>
      <c r="BO120" s="179"/>
      <c r="BP120" s="179"/>
      <c r="BQ120" s="179"/>
      <c r="BR120" s="509"/>
      <c r="BS120" s="303"/>
      <c r="BT120" s="507"/>
      <c r="BU120" s="179"/>
      <c r="BV120" s="179"/>
      <c r="BW120" s="179"/>
      <c r="BX120" s="179"/>
      <c r="BY120" s="179"/>
      <c r="BZ120" s="179"/>
      <c r="CA120" s="179"/>
      <c r="CB120" s="179"/>
      <c r="CC120" s="179"/>
      <c r="CD120" s="179"/>
      <c r="CE120" s="179"/>
      <c r="CF120" s="509"/>
      <c r="CG120" s="303"/>
      <c r="CH120" s="507"/>
      <c r="CI120" s="179"/>
      <c r="CJ120" s="179"/>
      <c r="CK120" s="179"/>
      <c r="CL120" s="179"/>
      <c r="CM120" s="179"/>
      <c r="CN120" s="179"/>
      <c r="CO120" s="179"/>
      <c r="CP120" s="179"/>
      <c r="CQ120" s="179"/>
      <c r="CR120" s="179"/>
      <c r="CS120" s="179"/>
      <c r="CT120" s="509"/>
      <c r="CU120" s="303"/>
      <c r="CV120" s="507"/>
      <c r="CW120" s="179"/>
      <c r="CX120" s="179"/>
      <c r="CY120" s="179"/>
      <c r="CZ120" s="179"/>
      <c r="DA120" s="179"/>
      <c r="DB120" s="179"/>
      <c r="DC120" s="179"/>
      <c r="DD120" s="179"/>
      <c r="DE120" s="179"/>
      <c r="DF120" s="179"/>
      <c r="DG120" s="179"/>
      <c r="DH120" s="509"/>
      <c r="DI120" s="303"/>
      <c r="DJ120" s="507"/>
      <c r="DK120" s="179"/>
      <c r="DL120" s="179"/>
      <c r="DM120" s="179"/>
      <c r="DN120" s="179"/>
      <c r="DO120" s="179"/>
      <c r="DP120" s="179"/>
      <c r="DQ120" s="179"/>
      <c r="DR120" s="179"/>
      <c r="DS120" s="179"/>
      <c r="DT120" s="179"/>
      <c r="DU120" s="179"/>
      <c r="DV120" s="509"/>
      <c r="DW120" s="303"/>
      <c r="DX120" s="507"/>
      <c r="DY120" s="179"/>
      <c r="DZ120" s="179"/>
      <c r="EA120" s="179"/>
      <c r="EB120" s="179"/>
      <c r="EC120" s="179"/>
      <c r="ED120" s="179"/>
      <c r="EE120" s="179"/>
      <c r="EF120" s="179"/>
      <c r="EG120" s="179"/>
      <c r="EH120" s="179"/>
      <c r="EI120" s="179"/>
      <c r="EJ120" s="509"/>
      <c r="EK120" s="303"/>
      <c r="EL120" s="507"/>
      <c r="EM120" s="179"/>
      <c r="EN120" s="179"/>
      <c r="EO120" s="179"/>
      <c r="EP120" s="510"/>
      <c r="EQ120" s="179"/>
      <c r="ER120" s="179"/>
      <c r="ES120" s="179"/>
      <c r="ET120" s="510"/>
      <c r="EU120" s="179"/>
      <c r="EV120" s="179"/>
      <c r="EW120" s="179"/>
      <c r="EX120" s="511"/>
      <c r="EY120" s="303"/>
      <c r="EZ120" s="507"/>
      <c r="FA120" s="179"/>
      <c r="FB120" s="179"/>
      <c r="FC120" s="179"/>
      <c r="FD120" s="510"/>
      <c r="FE120" s="179"/>
      <c r="FF120" s="179"/>
      <c r="FG120" s="179"/>
      <c r="FH120" s="510"/>
      <c r="FI120" s="179"/>
      <c r="FJ120" s="179"/>
      <c r="FK120" s="179"/>
      <c r="FL120" s="511"/>
      <c r="FM120" s="303"/>
      <c r="FN120" s="507"/>
      <c r="FO120" s="179"/>
      <c r="FP120" s="179"/>
      <c r="FQ120" s="179"/>
      <c r="FR120" s="510"/>
      <c r="FS120" s="179"/>
      <c r="FT120" s="179"/>
      <c r="FU120" s="179"/>
      <c r="FV120" s="510"/>
      <c r="FW120" s="179"/>
      <c r="FX120" s="179"/>
      <c r="FY120" s="179"/>
      <c r="FZ120" s="511"/>
    </row>
    <row r="121" spans="1:182" ht="19.350000000000001" customHeight="1" x14ac:dyDescent="0.2">
      <c r="A121" s="303"/>
      <c r="B121" s="507"/>
      <c r="C121" s="510"/>
      <c r="D121" s="510"/>
      <c r="E121" s="510"/>
      <c r="F121" s="263"/>
      <c r="G121" s="263"/>
      <c r="H121" s="263"/>
      <c r="I121" s="263"/>
      <c r="J121" s="263"/>
      <c r="K121" s="263"/>
      <c r="L121" s="263"/>
      <c r="M121" s="263"/>
      <c r="N121" s="508"/>
      <c r="O121" s="303"/>
      <c r="P121" s="507"/>
      <c r="Q121" s="179"/>
      <c r="R121" s="179"/>
      <c r="S121" s="179"/>
      <c r="T121" s="263"/>
      <c r="U121" s="263"/>
      <c r="V121" s="263"/>
      <c r="W121" s="263"/>
      <c r="X121" s="263"/>
      <c r="Y121" s="179"/>
      <c r="Z121" s="179"/>
      <c r="AA121" s="179"/>
      <c r="AB121" s="509"/>
      <c r="AC121" s="303"/>
      <c r="AD121" s="507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509"/>
      <c r="AQ121" s="303"/>
      <c r="AR121" s="507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  <c r="BD121" s="509"/>
      <c r="BE121" s="303"/>
      <c r="BF121" s="507"/>
      <c r="BG121" s="179"/>
      <c r="BH121" s="179"/>
      <c r="BI121" s="179"/>
      <c r="BJ121" s="179"/>
      <c r="BK121" s="179"/>
      <c r="BL121" s="179"/>
      <c r="BM121" s="179"/>
      <c r="BN121" s="179"/>
      <c r="BO121" s="179"/>
      <c r="BP121" s="179"/>
      <c r="BQ121" s="179"/>
      <c r="BR121" s="509"/>
      <c r="BS121" s="303"/>
      <c r="BT121" s="507"/>
      <c r="BU121" s="179"/>
      <c r="BV121" s="179"/>
      <c r="BW121" s="179"/>
      <c r="BX121" s="179"/>
      <c r="BY121" s="179"/>
      <c r="BZ121" s="179"/>
      <c r="CA121" s="179"/>
      <c r="CB121" s="179"/>
      <c r="CC121" s="179"/>
      <c r="CD121" s="179"/>
      <c r="CE121" s="179"/>
      <c r="CF121" s="509"/>
      <c r="CG121" s="303"/>
      <c r="CH121" s="507"/>
      <c r="CI121" s="179"/>
      <c r="CJ121" s="179"/>
      <c r="CK121" s="179"/>
      <c r="CL121" s="179"/>
      <c r="CM121" s="179"/>
      <c r="CN121" s="179"/>
      <c r="CO121" s="179"/>
      <c r="CP121" s="179"/>
      <c r="CQ121" s="179"/>
      <c r="CR121" s="179"/>
      <c r="CS121" s="179"/>
      <c r="CT121" s="509"/>
      <c r="CU121" s="303"/>
      <c r="CV121" s="507"/>
      <c r="CW121" s="179"/>
      <c r="CX121" s="179"/>
      <c r="CY121" s="179"/>
      <c r="CZ121" s="179"/>
      <c r="DA121" s="179"/>
      <c r="DB121" s="179"/>
      <c r="DC121" s="179"/>
      <c r="DD121" s="179"/>
      <c r="DE121" s="179"/>
      <c r="DF121" s="179"/>
      <c r="DG121" s="179"/>
      <c r="DH121" s="509"/>
      <c r="DI121" s="303"/>
      <c r="DJ121" s="507"/>
      <c r="DK121" s="179"/>
      <c r="DL121" s="179"/>
      <c r="DM121" s="179"/>
      <c r="DN121" s="179"/>
      <c r="DO121" s="179"/>
      <c r="DP121" s="179"/>
      <c r="DQ121" s="179"/>
      <c r="DR121" s="179"/>
      <c r="DS121" s="179"/>
      <c r="DT121" s="179"/>
      <c r="DU121" s="179"/>
      <c r="DV121" s="509"/>
      <c r="DW121" s="303"/>
      <c r="DX121" s="507"/>
      <c r="DY121" s="179"/>
      <c r="DZ121" s="179"/>
      <c r="EA121" s="179"/>
      <c r="EB121" s="179"/>
      <c r="EC121" s="179"/>
      <c r="ED121" s="179"/>
      <c r="EE121" s="179"/>
      <c r="EF121" s="179"/>
      <c r="EG121" s="179"/>
      <c r="EH121" s="179"/>
      <c r="EI121" s="179"/>
      <c r="EJ121" s="509"/>
      <c r="EK121" s="303"/>
      <c r="EL121" s="507"/>
      <c r="EM121" s="179"/>
      <c r="EN121" s="179"/>
      <c r="EO121" s="179"/>
      <c r="EP121" s="510"/>
      <c r="EQ121" s="179"/>
      <c r="ER121" s="179"/>
      <c r="ES121" s="179"/>
      <c r="ET121" s="510"/>
      <c r="EU121" s="179"/>
      <c r="EV121" s="179"/>
      <c r="EW121" s="179"/>
      <c r="EX121" s="511"/>
      <c r="EY121" s="303"/>
      <c r="EZ121" s="507"/>
      <c r="FA121" s="179"/>
      <c r="FB121" s="179"/>
      <c r="FC121" s="179"/>
      <c r="FD121" s="510"/>
      <c r="FE121" s="179"/>
      <c r="FF121" s="179"/>
      <c r="FG121" s="179"/>
      <c r="FH121" s="510"/>
      <c r="FI121" s="179"/>
      <c r="FJ121" s="179"/>
      <c r="FK121" s="179"/>
      <c r="FL121" s="511"/>
      <c r="FM121" s="303"/>
      <c r="FN121" s="507"/>
      <c r="FO121" s="179"/>
      <c r="FP121" s="179"/>
      <c r="FQ121" s="179"/>
      <c r="FR121" s="510"/>
      <c r="FS121" s="179"/>
      <c r="FT121" s="179"/>
      <c r="FU121" s="179"/>
      <c r="FV121" s="510"/>
      <c r="FW121" s="179"/>
      <c r="FX121" s="179"/>
      <c r="FY121" s="179"/>
      <c r="FZ121" s="511"/>
    </row>
    <row r="122" spans="1:182" ht="19.350000000000001" customHeight="1" x14ac:dyDescent="0.2">
      <c r="A122" s="303"/>
      <c r="B122" s="507"/>
      <c r="C122" s="510"/>
      <c r="D122" s="510"/>
      <c r="E122" s="510"/>
      <c r="F122" s="263"/>
      <c r="G122" s="263"/>
      <c r="H122" s="263"/>
      <c r="I122" s="263"/>
      <c r="J122" s="263"/>
      <c r="K122" s="263"/>
      <c r="L122" s="263"/>
      <c r="M122" s="263"/>
      <c r="N122" s="508"/>
      <c r="O122" s="303"/>
      <c r="P122" s="507"/>
      <c r="Q122" s="179"/>
      <c r="R122" s="179"/>
      <c r="S122" s="179"/>
      <c r="T122" s="263"/>
      <c r="U122" s="263"/>
      <c r="V122" s="263"/>
      <c r="W122" s="263"/>
      <c r="X122" s="263"/>
      <c r="Y122" s="179"/>
      <c r="Z122" s="179"/>
      <c r="AA122" s="179"/>
      <c r="AB122" s="509"/>
      <c r="AC122" s="303"/>
      <c r="AD122" s="507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509"/>
      <c r="AQ122" s="303"/>
      <c r="AR122" s="507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509"/>
      <c r="BE122" s="303"/>
      <c r="BF122" s="507"/>
      <c r="BG122" s="179"/>
      <c r="BH122" s="179"/>
      <c r="BI122" s="179"/>
      <c r="BJ122" s="179"/>
      <c r="BK122" s="179"/>
      <c r="BL122" s="179"/>
      <c r="BM122" s="179"/>
      <c r="BN122" s="179"/>
      <c r="BO122" s="179"/>
      <c r="BP122" s="179"/>
      <c r="BQ122" s="179"/>
      <c r="BR122" s="509"/>
      <c r="BS122" s="303"/>
      <c r="BT122" s="507"/>
      <c r="BU122" s="179"/>
      <c r="BV122" s="179"/>
      <c r="BW122" s="179"/>
      <c r="BX122" s="179"/>
      <c r="BY122" s="179"/>
      <c r="BZ122" s="179"/>
      <c r="CA122" s="179"/>
      <c r="CB122" s="179"/>
      <c r="CC122" s="179"/>
      <c r="CD122" s="179"/>
      <c r="CE122" s="179"/>
      <c r="CF122" s="509"/>
      <c r="CG122" s="303"/>
      <c r="CH122" s="507"/>
      <c r="CI122" s="179"/>
      <c r="CJ122" s="179"/>
      <c r="CK122" s="179"/>
      <c r="CL122" s="179"/>
      <c r="CM122" s="179"/>
      <c r="CN122" s="179"/>
      <c r="CO122" s="179"/>
      <c r="CP122" s="179"/>
      <c r="CQ122" s="179"/>
      <c r="CR122" s="179"/>
      <c r="CS122" s="179"/>
      <c r="CT122" s="509"/>
      <c r="CU122" s="303"/>
      <c r="CV122" s="507"/>
      <c r="CW122" s="179"/>
      <c r="CX122" s="179"/>
      <c r="CY122" s="179"/>
      <c r="CZ122" s="179"/>
      <c r="DA122" s="179"/>
      <c r="DB122" s="179"/>
      <c r="DC122" s="179"/>
      <c r="DD122" s="179"/>
      <c r="DE122" s="179"/>
      <c r="DF122" s="179"/>
      <c r="DG122" s="179"/>
      <c r="DH122" s="509"/>
      <c r="DI122" s="303"/>
      <c r="DJ122" s="507"/>
      <c r="DK122" s="179"/>
      <c r="DL122" s="179"/>
      <c r="DM122" s="179"/>
      <c r="DN122" s="179"/>
      <c r="DO122" s="179"/>
      <c r="DP122" s="179"/>
      <c r="DQ122" s="179"/>
      <c r="DR122" s="179"/>
      <c r="DS122" s="179"/>
      <c r="DT122" s="179"/>
      <c r="DU122" s="179"/>
      <c r="DV122" s="509"/>
      <c r="DW122" s="303"/>
      <c r="DX122" s="507"/>
      <c r="DY122" s="179"/>
      <c r="DZ122" s="179"/>
      <c r="EA122" s="179"/>
      <c r="EB122" s="179"/>
      <c r="EC122" s="179"/>
      <c r="ED122" s="179"/>
      <c r="EE122" s="179"/>
      <c r="EF122" s="179"/>
      <c r="EG122" s="179"/>
      <c r="EH122" s="179"/>
      <c r="EI122" s="179"/>
      <c r="EJ122" s="509"/>
      <c r="EK122" s="303"/>
      <c r="EL122" s="507"/>
      <c r="EM122" s="179"/>
      <c r="EN122" s="179"/>
      <c r="EO122" s="179"/>
      <c r="EP122" s="510"/>
      <c r="EQ122" s="179"/>
      <c r="ER122" s="179"/>
      <c r="ES122" s="179"/>
      <c r="ET122" s="510"/>
      <c r="EU122" s="179"/>
      <c r="EV122" s="179"/>
      <c r="EW122" s="179"/>
      <c r="EX122" s="511"/>
      <c r="EY122" s="303"/>
      <c r="EZ122" s="507"/>
      <c r="FA122" s="179"/>
      <c r="FB122" s="179"/>
      <c r="FC122" s="179"/>
      <c r="FD122" s="510"/>
      <c r="FE122" s="179"/>
      <c r="FF122" s="179"/>
      <c r="FG122" s="179"/>
      <c r="FH122" s="510"/>
      <c r="FI122" s="179"/>
      <c r="FJ122" s="179"/>
      <c r="FK122" s="179"/>
      <c r="FL122" s="511"/>
      <c r="FM122" s="303"/>
      <c r="FN122" s="507"/>
      <c r="FO122" s="179"/>
      <c r="FP122" s="179"/>
      <c r="FQ122" s="179"/>
      <c r="FR122" s="510"/>
      <c r="FS122" s="179"/>
      <c r="FT122" s="179"/>
      <c r="FU122" s="179"/>
      <c r="FV122" s="510"/>
      <c r="FW122" s="179"/>
      <c r="FX122" s="179"/>
      <c r="FY122" s="179"/>
      <c r="FZ122" s="511"/>
    </row>
    <row r="123" spans="1:182" ht="19.350000000000001" customHeight="1" x14ac:dyDescent="0.2">
      <c r="A123" s="303"/>
      <c r="B123" s="507"/>
      <c r="C123" s="510"/>
      <c r="D123" s="510"/>
      <c r="E123" s="510"/>
      <c r="F123" s="263"/>
      <c r="G123" s="263"/>
      <c r="H123" s="263"/>
      <c r="I123" s="263"/>
      <c r="J123" s="263"/>
      <c r="K123" s="263"/>
      <c r="L123" s="263"/>
      <c r="M123" s="263"/>
      <c r="N123" s="508"/>
      <c r="O123" s="303"/>
      <c r="P123" s="507"/>
      <c r="Q123" s="179"/>
      <c r="R123" s="179"/>
      <c r="S123" s="179"/>
      <c r="T123" s="263"/>
      <c r="U123" s="263"/>
      <c r="V123" s="263"/>
      <c r="W123" s="263"/>
      <c r="X123" s="263"/>
      <c r="Y123" s="179"/>
      <c r="Z123" s="179"/>
      <c r="AA123" s="179"/>
      <c r="AB123" s="509"/>
      <c r="AC123" s="303"/>
      <c r="AD123" s="507"/>
      <c r="AE123" s="179"/>
      <c r="AF123" s="179"/>
      <c r="AG123" s="179"/>
      <c r="AH123" s="179"/>
      <c r="AI123" s="179"/>
      <c r="AJ123" s="179"/>
      <c r="AK123" s="179"/>
      <c r="AL123" s="179"/>
      <c r="AM123" s="179"/>
      <c r="AN123" s="179"/>
      <c r="AO123" s="179"/>
      <c r="AP123" s="509"/>
      <c r="AQ123" s="303"/>
      <c r="AR123" s="507"/>
      <c r="AS123" s="179"/>
      <c r="AT123" s="179"/>
      <c r="AU123" s="179"/>
      <c r="AV123" s="179"/>
      <c r="AW123" s="179"/>
      <c r="AX123" s="179"/>
      <c r="AY123" s="179"/>
      <c r="AZ123" s="179"/>
      <c r="BA123" s="179"/>
      <c r="BB123" s="179"/>
      <c r="BC123" s="179"/>
      <c r="BD123" s="509"/>
      <c r="BE123" s="303"/>
      <c r="BF123" s="507"/>
      <c r="BG123" s="179"/>
      <c r="BH123" s="179"/>
      <c r="BI123" s="179"/>
      <c r="BJ123" s="179"/>
      <c r="BK123" s="179"/>
      <c r="BL123" s="179"/>
      <c r="BM123" s="179"/>
      <c r="BN123" s="179"/>
      <c r="BO123" s="179"/>
      <c r="BP123" s="179"/>
      <c r="BQ123" s="179"/>
      <c r="BR123" s="509"/>
      <c r="BS123" s="303"/>
      <c r="BT123" s="507"/>
      <c r="BU123" s="179"/>
      <c r="BV123" s="179"/>
      <c r="BW123" s="179"/>
      <c r="BX123" s="179"/>
      <c r="BY123" s="179"/>
      <c r="BZ123" s="179"/>
      <c r="CA123" s="179"/>
      <c r="CB123" s="179"/>
      <c r="CC123" s="179"/>
      <c r="CD123" s="179"/>
      <c r="CE123" s="179"/>
      <c r="CF123" s="509"/>
      <c r="CG123" s="303"/>
      <c r="CH123" s="507"/>
      <c r="CI123" s="179"/>
      <c r="CJ123" s="179"/>
      <c r="CK123" s="179"/>
      <c r="CL123" s="179"/>
      <c r="CM123" s="179"/>
      <c r="CN123" s="179"/>
      <c r="CO123" s="179"/>
      <c r="CP123" s="179"/>
      <c r="CQ123" s="179"/>
      <c r="CR123" s="179"/>
      <c r="CS123" s="179"/>
      <c r="CT123" s="509"/>
      <c r="CU123" s="303"/>
      <c r="CV123" s="507"/>
      <c r="CW123" s="179"/>
      <c r="CX123" s="179"/>
      <c r="CY123" s="179"/>
      <c r="CZ123" s="179"/>
      <c r="DA123" s="179"/>
      <c r="DB123" s="179"/>
      <c r="DC123" s="179"/>
      <c r="DD123" s="179"/>
      <c r="DE123" s="179"/>
      <c r="DF123" s="179"/>
      <c r="DG123" s="179"/>
      <c r="DH123" s="509"/>
      <c r="DI123" s="303"/>
      <c r="DJ123" s="507"/>
      <c r="DK123" s="179"/>
      <c r="DL123" s="179"/>
      <c r="DM123" s="179"/>
      <c r="DN123" s="179"/>
      <c r="DO123" s="179"/>
      <c r="DP123" s="179"/>
      <c r="DQ123" s="179"/>
      <c r="DR123" s="179"/>
      <c r="DS123" s="179"/>
      <c r="DT123" s="179"/>
      <c r="DU123" s="179"/>
      <c r="DV123" s="509"/>
      <c r="DW123" s="303"/>
      <c r="DX123" s="507"/>
      <c r="DY123" s="179"/>
      <c r="DZ123" s="179"/>
      <c r="EA123" s="179"/>
      <c r="EB123" s="179"/>
      <c r="EC123" s="179"/>
      <c r="ED123" s="179"/>
      <c r="EE123" s="179"/>
      <c r="EF123" s="179"/>
      <c r="EG123" s="179"/>
      <c r="EH123" s="179"/>
      <c r="EI123" s="179"/>
      <c r="EJ123" s="509"/>
      <c r="EK123" s="303"/>
      <c r="EL123" s="507"/>
      <c r="EM123" s="179"/>
      <c r="EN123" s="179"/>
      <c r="EO123" s="179"/>
      <c r="EP123" s="510"/>
      <c r="EQ123" s="179"/>
      <c r="ER123" s="179"/>
      <c r="ES123" s="179"/>
      <c r="ET123" s="510"/>
      <c r="EU123" s="179"/>
      <c r="EV123" s="179"/>
      <c r="EW123" s="179"/>
      <c r="EX123" s="511"/>
      <c r="EY123" s="303"/>
      <c r="EZ123" s="507"/>
      <c r="FA123" s="179"/>
      <c r="FB123" s="179"/>
      <c r="FC123" s="179"/>
      <c r="FD123" s="510"/>
      <c r="FE123" s="179"/>
      <c r="FF123" s="179"/>
      <c r="FG123" s="179"/>
      <c r="FH123" s="510"/>
      <c r="FI123" s="179"/>
      <c r="FJ123" s="179"/>
      <c r="FK123" s="179"/>
      <c r="FL123" s="511"/>
      <c r="FM123" s="303"/>
      <c r="FN123" s="507"/>
      <c r="FO123" s="179"/>
      <c r="FP123" s="179"/>
      <c r="FQ123" s="179"/>
      <c r="FR123" s="510"/>
      <c r="FS123" s="179"/>
      <c r="FT123" s="179"/>
      <c r="FU123" s="179"/>
      <c r="FV123" s="510"/>
      <c r="FW123" s="179"/>
      <c r="FX123" s="179"/>
      <c r="FY123" s="179"/>
      <c r="FZ123" s="511"/>
    </row>
    <row r="124" spans="1:182" ht="19.350000000000001" customHeight="1" x14ac:dyDescent="0.2">
      <c r="A124" s="303"/>
      <c r="B124" s="507"/>
      <c r="C124" s="510"/>
      <c r="D124" s="510"/>
      <c r="E124" s="510"/>
      <c r="F124" s="263"/>
      <c r="G124" s="263"/>
      <c r="H124" s="263"/>
      <c r="I124" s="263"/>
      <c r="J124" s="263"/>
      <c r="K124" s="263"/>
      <c r="L124" s="263"/>
      <c r="M124" s="263"/>
      <c r="N124" s="508"/>
      <c r="O124" s="303"/>
      <c r="P124" s="507"/>
      <c r="Q124" s="179"/>
      <c r="R124" s="179"/>
      <c r="S124" s="179"/>
      <c r="T124" s="263"/>
      <c r="U124" s="263"/>
      <c r="V124" s="263"/>
      <c r="W124" s="263"/>
      <c r="X124" s="263"/>
      <c r="Y124" s="179"/>
      <c r="Z124" s="179"/>
      <c r="AA124" s="179"/>
      <c r="AB124" s="509"/>
      <c r="AC124" s="303"/>
      <c r="AD124" s="507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509"/>
      <c r="AQ124" s="303"/>
      <c r="AR124" s="507"/>
      <c r="AS124" s="179"/>
      <c r="AT124" s="179"/>
      <c r="AU124" s="179"/>
      <c r="AV124" s="179"/>
      <c r="AW124" s="179"/>
      <c r="AX124" s="179"/>
      <c r="AY124" s="179"/>
      <c r="AZ124" s="179"/>
      <c r="BA124" s="179"/>
      <c r="BB124" s="179"/>
      <c r="BC124" s="179"/>
      <c r="BD124" s="509"/>
      <c r="BE124" s="303"/>
      <c r="BF124" s="507"/>
      <c r="BG124" s="179"/>
      <c r="BH124" s="179"/>
      <c r="BI124" s="179"/>
      <c r="BJ124" s="179"/>
      <c r="BK124" s="179"/>
      <c r="BL124" s="179"/>
      <c r="BM124" s="179"/>
      <c r="BN124" s="179"/>
      <c r="BO124" s="179"/>
      <c r="BP124" s="179"/>
      <c r="BQ124" s="179"/>
      <c r="BR124" s="509"/>
      <c r="BS124" s="303"/>
      <c r="BT124" s="507"/>
      <c r="BU124" s="179"/>
      <c r="BV124" s="179"/>
      <c r="BW124" s="179"/>
      <c r="BX124" s="179"/>
      <c r="BY124" s="179"/>
      <c r="BZ124" s="179"/>
      <c r="CA124" s="179"/>
      <c r="CB124" s="179"/>
      <c r="CC124" s="179"/>
      <c r="CD124" s="179"/>
      <c r="CE124" s="179"/>
      <c r="CF124" s="509"/>
      <c r="CG124" s="303"/>
      <c r="CH124" s="507"/>
      <c r="CI124" s="179"/>
      <c r="CJ124" s="179"/>
      <c r="CK124" s="179"/>
      <c r="CL124" s="179"/>
      <c r="CM124" s="179"/>
      <c r="CN124" s="179"/>
      <c r="CO124" s="179"/>
      <c r="CP124" s="179"/>
      <c r="CQ124" s="179"/>
      <c r="CR124" s="179"/>
      <c r="CS124" s="179"/>
      <c r="CT124" s="509"/>
      <c r="CU124" s="303"/>
      <c r="CV124" s="507"/>
      <c r="CW124" s="179"/>
      <c r="CX124" s="179"/>
      <c r="CY124" s="179"/>
      <c r="CZ124" s="179"/>
      <c r="DA124" s="179"/>
      <c r="DB124" s="179"/>
      <c r="DC124" s="179"/>
      <c r="DD124" s="179"/>
      <c r="DE124" s="179"/>
      <c r="DF124" s="179"/>
      <c r="DG124" s="179"/>
      <c r="DH124" s="509"/>
      <c r="DI124" s="303"/>
      <c r="DJ124" s="507"/>
      <c r="DK124" s="179"/>
      <c r="DL124" s="179"/>
      <c r="DM124" s="179"/>
      <c r="DN124" s="179"/>
      <c r="DO124" s="179"/>
      <c r="DP124" s="179"/>
      <c r="DQ124" s="179"/>
      <c r="DR124" s="179"/>
      <c r="DS124" s="179"/>
      <c r="DT124" s="179"/>
      <c r="DU124" s="179"/>
      <c r="DV124" s="509"/>
      <c r="DW124" s="303"/>
      <c r="DX124" s="507"/>
      <c r="DY124" s="179"/>
      <c r="DZ124" s="179"/>
      <c r="EA124" s="179"/>
      <c r="EB124" s="179"/>
      <c r="EC124" s="179"/>
      <c r="ED124" s="179"/>
      <c r="EE124" s="179"/>
      <c r="EF124" s="179"/>
      <c r="EG124" s="179"/>
      <c r="EH124" s="179"/>
      <c r="EI124" s="179"/>
      <c r="EJ124" s="509"/>
      <c r="EK124" s="303"/>
      <c r="EL124" s="507"/>
      <c r="EM124" s="179"/>
      <c r="EN124" s="179"/>
      <c r="EO124" s="179"/>
      <c r="EP124" s="510"/>
      <c r="EQ124" s="179"/>
      <c r="ER124" s="179"/>
      <c r="ES124" s="179"/>
      <c r="ET124" s="510"/>
      <c r="EU124" s="179"/>
      <c r="EV124" s="179"/>
      <c r="EW124" s="179"/>
      <c r="EX124" s="511"/>
      <c r="EY124" s="303"/>
      <c r="EZ124" s="507"/>
      <c r="FA124" s="179"/>
      <c r="FB124" s="179"/>
      <c r="FC124" s="179"/>
      <c r="FD124" s="510"/>
      <c r="FE124" s="179"/>
      <c r="FF124" s="179"/>
      <c r="FG124" s="179"/>
      <c r="FH124" s="510"/>
      <c r="FI124" s="179"/>
      <c r="FJ124" s="179"/>
      <c r="FK124" s="179"/>
      <c r="FL124" s="511"/>
      <c r="FM124" s="303"/>
      <c r="FN124" s="507"/>
      <c r="FO124" s="179"/>
      <c r="FP124" s="179"/>
      <c r="FQ124" s="179"/>
      <c r="FR124" s="510"/>
      <c r="FS124" s="179"/>
      <c r="FT124" s="179"/>
      <c r="FU124" s="179"/>
      <c r="FV124" s="510"/>
      <c r="FW124" s="179"/>
      <c r="FX124" s="179"/>
      <c r="FY124" s="179"/>
      <c r="FZ124" s="511"/>
    </row>
    <row r="125" spans="1:182" ht="15.75" x14ac:dyDescent="0.25">
      <c r="A125" s="477"/>
      <c r="B125" s="477"/>
      <c r="C125" s="477"/>
      <c r="D125" s="477"/>
      <c r="E125" s="477"/>
      <c r="F125" s="477"/>
      <c r="G125" s="477"/>
      <c r="H125" s="477"/>
      <c r="I125" s="477"/>
      <c r="J125" s="477"/>
      <c r="K125" s="477"/>
      <c r="L125" s="477"/>
      <c r="M125" s="477"/>
      <c r="N125" s="477"/>
      <c r="O125" s="477"/>
      <c r="P125" s="477"/>
      <c r="Q125" s="477"/>
      <c r="R125" s="477"/>
      <c r="S125" s="477"/>
      <c r="T125" s="477"/>
      <c r="U125" s="477"/>
      <c r="V125" s="477"/>
      <c r="W125" s="477"/>
      <c r="X125" s="477"/>
      <c r="Y125" s="477"/>
      <c r="Z125" s="477"/>
      <c r="AA125" s="477"/>
      <c r="AB125" s="477"/>
      <c r="AC125" s="477"/>
      <c r="AD125" s="477"/>
      <c r="AE125" s="477"/>
      <c r="AF125" s="477"/>
      <c r="AG125" s="477"/>
      <c r="AH125" s="477"/>
      <c r="AI125" s="477"/>
      <c r="AJ125" s="477"/>
      <c r="AK125" s="477"/>
      <c r="AL125" s="477"/>
      <c r="AM125" s="477"/>
      <c r="AN125" s="477"/>
      <c r="AO125" s="477"/>
      <c r="AP125" s="477"/>
      <c r="AQ125" s="477"/>
      <c r="AR125" s="477"/>
      <c r="AS125" s="477"/>
      <c r="AT125" s="477"/>
      <c r="AU125" s="477"/>
      <c r="AV125" s="477"/>
      <c r="AW125" s="477"/>
      <c r="AX125" s="477"/>
      <c r="AY125" s="477"/>
      <c r="AZ125" s="477"/>
      <c r="BA125" s="477"/>
      <c r="BB125" s="477"/>
      <c r="BC125" s="477"/>
      <c r="BD125" s="477"/>
      <c r="BE125" s="477"/>
      <c r="BF125" s="477"/>
      <c r="BG125" s="477"/>
      <c r="BH125" s="477"/>
      <c r="BI125" s="477"/>
      <c r="BJ125" s="477"/>
      <c r="BK125" s="477"/>
      <c r="BL125" s="477"/>
      <c r="BM125" s="477"/>
      <c r="BN125" s="477"/>
      <c r="BO125" s="477"/>
      <c r="BP125" s="477"/>
      <c r="BQ125" s="477"/>
      <c r="BR125" s="477"/>
      <c r="BS125" s="477"/>
      <c r="BT125" s="477"/>
      <c r="BU125" s="477"/>
      <c r="BV125" s="477"/>
      <c r="BW125" s="477"/>
      <c r="BX125" s="477"/>
      <c r="BY125" s="477"/>
      <c r="BZ125" s="477"/>
      <c r="CA125" s="477"/>
      <c r="CB125" s="477"/>
      <c r="CC125" s="477"/>
      <c r="CD125" s="477"/>
      <c r="CE125" s="477"/>
      <c r="CF125" s="477"/>
      <c r="CG125" s="477"/>
      <c r="CH125" s="477"/>
      <c r="CI125" s="477"/>
      <c r="CJ125" s="477"/>
      <c r="CK125" s="477"/>
      <c r="CL125" s="477"/>
      <c r="CM125" s="477"/>
      <c r="CN125" s="477"/>
      <c r="CO125" s="477"/>
      <c r="CP125" s="477"/>
      <c r="CQ125" s="477"/>
      <c r="CR125" s="477"/>
      <c r="CS125" s="477"/>
      <c r="CT125" s="477"/>
      <c r="CU125" s="477"/>
      <c r="CV125" s="477"/>
      <c r="CW125" s="477"/>
      <c r="CX125" s="477"/>
      <c r="CY125" s="477"/>
      <c r="CZ125" s="477"/>
      <c r="DA125" s="477"/>
      <c r="DB125" s="477"/>
      <c r="DC125" s="477"/>
      <c r="DD125" s="477"/>
      <c r="DE125" s="477"/>
      <c r="DF125" s="477"/>
      <c r="DG125" s="477"/>
      <c r="DH125" s="477"/>
      <c r="DI125" s="477"/>
      <c r="DJ125" s="477"/>
      <c r="DK125" s="477"/>
      <c r="DL125" s="477"/>
      <c r="DM125" s="477"/>
      <c r="DN125" s="477"/>
      <c r="DO125" s="477"/>
      <c r="DP125" s="477"/>
      <c r="DQ125" s="477"/>
      <c r="DR125" s="477"/>
      <c r="DS125" s="477"/>
      <c r="DT125" s="477"/>
      <c r="DU125" s="477"/>
      <c r="DV125" s="477"/>
      <c r="DW125" s="477"/>
      <c r="DX125" s="477"/>
      <c r="DY125" s="477"/>
      <c r="DZ125" s="477"/>
      <c r="EA125" s="477"/>
      <c r="EB125" s="477"/>
      <c r="EC125" s="477"/>
      <c r="ED125" s="477"/>
      <c r="EE125" s="477"/>
      <c r="EF125" s="477"/>
      <c r="EG125" s="477"/>
      <c r="EH125" s="477"/>
      <c r="EI125" s="477"/>
      <c r="EJ125" s="477"/>
      <c r="EK125" s="477"/>
      <c r="EL125" s="477"/>
      <c r="EM125" s="477"/>
      <c r="EN125" s="477"/>
      <c r="EO125" s="477"/>
      <c r="EP125" s="477"/>
      <c r="EQ125" s="477"/>
      <c r="ER125" s="477"/>
      <c r="ES125" s="477"/>
      <c r="ET125" s="477"/>
      <c r="EU125" s="477"/>
      <c r="EV125" s="477"/>
      <c r="EW125" s="477"/>
      <c r="EX125" s="477"/>
      <c r="EY125" s="477"/>
      <c r="EZ125" s="477"/>
      <c r="FA125" s="477"/>
      <c r="FB125" s="477"/>
      <c r="FC125" s="477"/>
      <c r="FD125" s="477"/>
      <c r="FE125" s="477"/>
      <c r="FF125" s="477"/>
      <c r="FG125" s="477"/>
      <c r="FH125" s="477"/>
      <c r="FI125" s="477"/>
      <c r="FJ125" s="477"/>
      <c r="FK125" s="477"/>
      <c r="FL125" s="477"/>
      <c r="FM125" s="477"/>
      <c r="FN125" s="477"/>
      <c r="FO125" s="477"/>
      <c r="FP125" s="477"/>
      <c r="FQ125" s="477"/>
      <c r="FR125" s="477"/>
      <c r="FS125" s="477"/>
      <c r="FT125" s="477"/>
      <c r="FU125" s="477"/>
      <c r="FV125" s="477"/>
      <c r="FW125" s="477"/>
      <c r="FX125" s="477"/>
      <c r="FY125" s="477"/>
      <c r="FZ125" s="477"/>
    </row>
    <row r="126" spans="1:182" ht="15.75" x14ac:dyDescent="0.25">
      <c r="A126" s="477"/>
      <c r="B126" s="477"/>
      <c r="C126" s="477"/>
      <c r="D126" s="477"/>
      <c r="E126" s="477"/>
      <c r="F126" s="477"/>
      <c r="G126" s="477"/>
      <c r="H126" s="477"/>
      <c r="I126" s="477"/>
      <c r="J126" s="477"/>
      <c r="K126" s="477"/>
      <c r="L126" s="477"/>
      <c r="M126" s="477"/>
      <c r="N126" s="477"/>
      <c r="O126" s="477"/>
      <c r="P126" s="477"/>
      <c r="Q126" s="477"/>
      <c r="R126" s="477"/>
      <c r="S126" s="477"/>
      <c r="T126" s="477"/>
      <c r="U126" s="477"/>
      <c r="V126" s="477"/>
      <c r="W126" s="477"/>
      <c r="X126" s="477"/>
      <c r="Y126" s="477"/>
      <c r="Z126" s="477"/>
      <c r="AA126" s="477"/>
      <c r="AB126" s="477"/>
      <c r="AC126" s="477"/>
      <c r="AD126" s="477"/>
      <c r="AE126" s="477"/>
      <c r="AF126" s="477"/>
      <c r="AG126" s="477"/>
      <c r="AH126" s="477"/>
      <c r="AI126" s="477"/>
      <c r="AJ126" s="477"/>
      <c r="AK126" s="477"/>
      <c r="AL126" s="477"/>
      <c r="AM126" s="477"/>
      <c r="AN126" s="477"/>
      <c r="AO126" s="477"/>
      <c r="AP126" s="477"/>
      <c r="AQ126" s="477"/>
      <c r="AR126" s="477"/>
      <c r="AS126" s="477"/>
      <c r="AT126" s="477"/>
      <c r="AU126" s="477"/>
      <c r="AV126" s="477"/>
      <c r="AW126" s="477"/>
      <c r="AX126" s="477"/>
      <c r="AY126" s="477"/>
      <c r="AZ126" s="477"/>
      <c r="BA126" s="477"/>
      <c r="BB126" s="477"/>
      <c r="BC126" s="477"/>
      <c r="BD126" s="477"/>
      <c r="BE126" s="477"/>
      <c r="BF126" s="477"/>
      <c r="BG126" s="477"/>
      <c r="BH126" s="477"/>
      <c r="BI126" s="477"/>
      <c r="BJ126" s="477"/>
      <c r="BK126" s="477"/>
      <c r="BL126" s="477"/>
      <c r="BM126" s="477"/>
      <c r="BN126" s="477"/>
      <c r="BO126" s="477"/>
      <c r="BP126" s="477"/>
      <c r="BQ126" s="477"/>
      <c r="BR126" s="477"/>
      <c r="BS126" s="477"/>
      <c r="BT126" s="477"/>
      <c r="BU126" s="477"/>
      <c r="BV126" s="477"/>
      <c r="BW126" s="477"/>
      <c r="BX126" s="477"/>
      <c r="BY126" s="477"/>
      <c r="BZ126" s="477"/>
      <c r="CA126" s="477"/>
      <c r="CB126" s="477"/>
      <c r="CC126" s="477"/>
      <c r="CD126" s="477"/>
      <c r="CE126" s="477"/>
      <c r="CF126" s="477"/>
      <c r="CG126" s="477"/>
      <c r="CH126" s="477"/>
      <c r="CI126" s="477"/>
      <c r="CJ126" s="477"/>
      <c r="CK126" s="477"/>
      <c r="CL126" s="477"/>
      <c r="CM126" s="477"/>
      <c r="CN126" s="477"/>
      <c r="CO126" s="477"/>
      <c r="CP126" s="477"/>
      <c r="CQ126" s="477"/>
      <c r="CR126" s="477"/>
      <c r="CS126" s="477"/>
      <c r="CT126" s="477"/>
      <c r="CU126" s="477"/>
      <c r="CV126" s="477"/>
      <c r="CW126" s="477"/>
      <c r="CX126" s="477"/>
      <c r="CY126" s="477"/>
      <c r="CZ126" s="477"/>
      <c r="DA126" s="477"/>
      <c r="DB126" s="477"/>
      <c r="DC126" s="477"/>
      <c r="DD126" s="477"/>
      <c r="DE126" s="477"/>
      <c r="DF126" s="477"/>
      <c r="DG126" s="477"/>
      <c r="DH126" s="477"/>
      <c r="DI126" s="477"/>
      <c r="DJ126" s="477"/>
      <c r="DK126" s="477"/>
      <c r="DL126" s="477"/>
      <c r="DM126" s="477"/>
      <c r="DN126" s="477"/>
      <c r="DO126" s="477"/>
      <c r="DP126" s="477"/>
      <c r="DQ126" s="477"/>
      <c r="DR126" s="477"/>
      <c r="DS126" s="477"/>
      <c r="DT126" s="477"/>
      <c r="DU126" s="477"/>
      <c r="DV126" s="477"/>
      <c r="DW126" s="477"/>
      <c r="DX126" s="477"/>
      <c r="DY126" s="477"/>
      <c r="DZ126" s="477"/>
      <c r="EA126" s="477"/>
      <c r="EB126" s="477"/>
      <c r="EC126" s="477"/>
      <c r="ED126" s="477"/>
      <c r="EE126" s="477"/>
      <c r="EF126" s="477"/>
      <c r="EG126" s="477"/>
      <c r="EH126" s="477"/>
      <c r="EI126" s="477"/>
      <c r="EJ126" s="477"/>
      <c r="EK126" s="477"/>
      <c r="EL126" s="477"/>
      <c r="EM126" s="477"/>
      <c r="EN126" s="477"/>
      <c r="EO126" s="477"/>
      <c r="EP126" s="477"/>
      <c r="EQ126" s="477"/>
      <c r="ER126" s="477"/>
      <c r="ES126" s="477"/>
      <c r="ET126" s="477"/>
      <c r="EU126" s="477"/>
      <c r="EV126" s="477"/>
      <c r="EW126" s="477"/>
      <c r="EX126" s="477"/>
      <c r="EY126" s="477"/>
      <c r="EZ126" s="477"/>
      <c r="FA126" s="477"/>
      <c r="FB126" s="477"/>
      <c r="FC126" s="477"/>
      <c r="FD126" s="477"/>
      <c r="FE126" s="477"/>
      <c r="FF126" s="477"/>
      <c r="FG126" s="477"/>
      <c r="FH126" s="477"/>
      <c r="FI126" s="477"/>
      <c r="FJ126" s="477"/>
      <c r="FK126" s="477"/>
      <c r="FL126" s="477"/>
      <c r="FM126" s="477"/>
      <c r="FN126" s="477"/>
      <c r="FO126" s="477"/>
      <c r="FP126" s="477"/>
      <c r="FQ126" s="477"/>
      <c r="FR126" s="477"/>
      <c r="FS126" s="477"/>
      <c r="FT126" s="477"/>
      <c r="FU126" s="477"/>
      <c r="FV126" s="477"/>
      <c r="FW126" s="477"/>
      <c r="FX126" s="477"/>
      <c r="FY126" s="477"/>
      <c r="FZ126" s="477"/>
    </row>
  </sheetData>
  <mergeCells count="572">
    <mergeCell ref="FW11:FZ11"/>
    <mergeCell ref="A12:B12"/>
    <mergeCell ref="C12:F12"/>
    <mergeCell ref="G12:J12"/>
    <mergeCell ref="K12:N12"/>
    <mergeCell ref="O12:P12"/>
    <mergeCell ref="Q12:T12"/>
    <mergeCell ref="EQ11:ET11"/>
    <mergeCell ref="EU11:EX11"/>
    <mergeCell ref="EY11:EZ11"/>
    <mergeCell ref="FA11:FD11"/>
    <mergeCell ref="FE11:FH11"/>
    <mergeCell ref="FI11:FL11"/>
    <mergeCell ref="DW11:DX11"/>
    <mergeCell ref="DY11:EB11"/>
    <mergeCell ref="EC11:EF11"/>
    <mergeCell ref="EG11:EJ11"/>
    <mergeCell ref="A11:B11"/>
    <mergeCell ref="C11:F11"/>
    <mergeCell ref="G11:J11"/>
    <mergeCell ref="K11:N11"/>
    <mergeCell ref="O11:P11"/>
    <mergeCell ref="Q11:T11"/>
    <mergeCell ref="AW11:AZ11"/>
    <mergeCell ref="BU11:BX11"/>
    <mergeCell ref="BY11:CB11"/>
    <mergeCell ref="CC11:CF11"/>
    <mergeCell ref="AQ11:AR11"/>
    <mergeCell ref="AS11:AV11"/>
    <mergeCell ref="BK12:BN12"/>
    <mergeCell ref="BO12:BR12"/>
    <mergeCell ref="BS12:BT12"/>
    <mergeCell ref="BG11:BJ11"/>
    <mergeCell ref="BA11:BD11"/>
    <mergeCell ref="BE11:BF11"/>
    <mergeCell ref="BU12:BX12"/>
    <mergeCell ref="BY12:CB12"/>
    <mergeCell ref="CC12:CF12"/>
    <mergeCell ref="U12:X12"/>
    <mergeCell ref="Y12:AB12"/>
    <mergeCell ref="AC12:AD12"/>
    <mergeCell ref="AE12:AH12"/>
    <mergeCell ref="AI12:AL12"/>
    <mergeCell ref="AM12:AP12"/>
    <mergeCell ref="BK11:BN11"/>
    <mergeCell ref="BO11:BR11"/>
    <mergeCell ref="BS11:BT11"/>
    <mergeCell ref="U11:X11"/>
    <mergeCell ref="Y11:AB11"/>
    <mergeCell ref="AC11:AD11"/>
    <mergeCell ref="AE11:AH11"/>
    <mergeCell ref="AI11:AL11"/>
    <mergeCell ref="AM11:AP11"/>
    <mergeCell ref="AQ12:AR12"/>
    <mergeCell ref="AS12:AV12"/>
    <mergeCell ref="AW12:AZ12"/>
    <mergeCell ref="BA12:BD12"/>
    <mergeCell ref="BE12:BF12"/>
    <mergeCell ref="BG12:BJ12"/>
    <mergeCell ref="FM11:FN11"/>
    <mergeCell ref="FO11:FR11"/>
    <mergeCell ref="FS11:FV11"/>
    <mergeCell ref="DS11:DV11"/>
    <mergeCell ref="CG11:CH11"/>
    <mergeCell ref="CI11:CL11"/>
    <mergeCell ref="CM11:CP11"/>
    <mergeCell ref="CQ11:CT11"/>
    <mergeCell ref="CU11:CV11"/>
    <mergeCell ref="CW11:CZ11"/>
    <mergeCell ref="EK11:EL11"/>
    <mergeCell ref="EM11:EP11"/>
    <mergeCell ref="DA11:DD11"/>
    <mergeCell ref="DE11:DH11"/>
    <mergeCell ref="DI11:DJ11"/>
    <mergeCell ref="DK11:DN11"/>
    <mergeCell ref="DO11:DR11"/>
    <mergeCell ref="DI12:DJ12"/>
    <mergeCell ref="DK12:DN12"/>
    <mergeCell ref="DO12:DR12"/>
    <mergeCell ref="DS12:DV12"/>
    <mergeCell ref="CG12:CH12"/>
    <mergeCell ref="CI12:CL12"/>
    <mergeCell ref="CM12:CP12"/>
    <mergeCell ref="CQ12:CT12"/>
    <mergeCell ref="CU12:CV12"/>
    <mergeCell ref="CW12:CZ12"/>
    <mergeCell ref="FM12:FN12"/>
    <mergeCell ref="FO12:FR12"/>
    <mergeCell ref="FS12:FV12"/>
    <mergeCell ref="FW12:FZ12"/>
    <mergeCell ref="C13:E13"/>
    <mergeCell ref="G13:I13"/>
    <mergeCell ref="K13:M13"/>
    <mergeCell ref="Q13:S13"/>
    <mergeCell ref="U13:W13"/>
    <mergeCell ref="Y13:AA13"/>
    <mergeCell ref="EQ12:ET12"/>
    <mergeCell ref="EU12:EX12"/>
    <mergeCell ref="EY12:EZ12"/>
    <mergeCell ref="FA12:FD12"/>
    <mergeCell ref="FE12:FH12"/>
    <mergeCell ref="FI12:FL12"/>
    <mergeCell ref="DW12:DX12"/>
    <mergeCell ref="DY12:EB12"/>
    <mergeCell ref="EC12:EF12"/>
    <mergeCell ref="EG12:EJ12"/>
    <mergeCell ref="EK12:EL12"/>
    <mergeCell ref="EM12:EP12"/>
    <mergeCell ref="DA12:DD12"/>
    <mergeCell ref="DE12:DH12"/>
    <mergeCell ref="A43:B43"/>
    <mergeCell ref="C43:F43"/>
    <mergeCell ref="G43:J43"/>
    <mergeCell ref="K43:N43"/>
    <mergeCell ref="O43:P43"/>
    <mergeCell ref="Q43:T43"/>
    <mergeCell ref="U43:X43"/>
    <mergeCell ref="EM13:EO13"/>
    <mergeCell ref="EQ13:ES13"/>
    <mergeCell ref="DK13:DM13"/>
    <mergeCell ref="DO13:DQ13"/>
    <mergeCell ref="DS13:DU13"/>
    <mergeCell ref="DY13:EA13"/>
    <mergeCell ref="EC13:EE13"/>
    <mergeCell ref="EG13:EI13"/>
    <mergeCell ref="CI13:CK13"/>
    <mergeCell ref="CM13:CO13"/>
    <mergeCell ref="CQ13:CS13"/>
    <mergeCell ref="CW13:CY13"/>
    <mergeCell ref="DA13:DC13"/>
    <mergeCell ref="DE13:DG13"/>
    <mergeCell ref="BG13:BI13"/>
    <mergeCell ref="BK13:BM13"/>
    <mergeCell ref="BO13:BQ13"/>
    <mergeCell ref="Y43:AB43"/>
    <mergeCell ref="AC43:AD43"/>
    <mergeCell ref="AE43:AH43"/>
    <mergeCell ref="AI43:AL43"/>
    <mergeCell ref="AM43:AP43"/>
    <mergeCell ref="AQ43:AR43"/>
    <mergeCell ref="FO13:FQ13"/>
    <mergeCell ref="FS13:FU13"/>
    <mergeCell ref="FW13:FY13"/>
    <mergeCell ref="EU13:EW13"/>
    <mergeCell ref="FA13:FC13"/>
    <mergeCell ref="FE13:FG13"/>
    <mergeCell ref="FI13:FK13"/>
    <mergeCell ref="BU13:BW13"/>
    <mergeCell ref="BY13:CA13"/>
    <mergeCell ref="CC13:CE13"/>
    <mergeCell ref="AE13:AG13"/>
    <mergeCell ref="AI13:AK13"/>
    <mergeCell ref="AM13:AO13"/>
    <mergeCell ref="AS13:AU13"/>
    <mergeCell ref="AW13:AY13"/>
    <mergeCell ref="BA13:BC13"/>
    <mergeCell ref="BO43:BR43"/>
    <mergeCell ref="BS43:BT43"/>
    <mergeCell ref="BU43:BX43"/>
    <mergeCell ref="BY43:CB43"/>
    <mergeCell ref="CC43:CF43"/>
    <mergeCell ref="CG43:CH43"/>
    <mergeCell ref="AS43:AV43"/>
    <mergeCell ref="AW43:AZ43"/>
    <mergeCell ref="BA43:BD43"/>
    <mergeCell ref="BE43:BF43"/>
    <mergeCell ref="BG43:BJ43"/>
    <mergeCell ref="BK43:BN43"/>
    <mergeCell ref="DK43:DN43"/>
    <mergeCell ref="DO43:DR43"/>
    <mergeCell ref="DS43:DV43"/>
    <mergeCell ref="DW43:DX43"/>
    <mergeCell ref="CI43:CL43"/>
    <mergeCell ref="CM43:CP43"/>
    <mergeCell ref="CQ43:CT43"/>
    <mergeCell ref="CU43:CV43"/>
    <mergeCell ref="CW43:CZ43"/>
    <mergeCell ref="DA43:DD43"/>
    <mergeCell ref="FO43:FR43"/>
    <mergeCell ref="FS43:FV43"/>
    <mergeCell ref="FW43:FZ43"/>
    <mergeCell ref="A44:B44"/>
    <mergeCell ref="C44:F44"/>
    <mergeCell ref="G44:J44"/>
    <mergeCell ref="K44:N44"/>
    <mergeCell ref="O44:P44"/>
    <mergeCell ref="Q44:T44"/>
    <mergeCell ref="U44:X44"/>
    <mergeCell ref="EU43:EX43"/>
    <mergeCell ref="EY43:EZ43"/>
    <mergeCell ref="FA43:FD43"/>
    <mergeCell ref="FE43:FH43"/>
    <mergeCell ref="FI43:FL43"/>
    <mergeCell ref="FM43:FN43"/>
    <mergeCell ref="DY43:EB43"/>
    <mergeCell ref="EC43:EF43"/>
    <mergeCell ref="EG43:EJ43"/>
    <mergeCell ref="EK43:EL43"/>
    <mergeCell ref="EM43:EP43"/>
    <mergeCell ref="EQ43:ET43"/>
    <mergeCell ref="DE43:DH43"/>
    <mergeCell ref="DI43:DJ43"/>
    <mergeCell ref="BA44:BD44"/>
    <mergeCell ref="BE44:BF44"/>
    <mergeCell ref="BG44:BJ44"/>
    <mergeCell ref="BK44:BN44"/>
    <mergeCell ref="Y44:AB44"/>
    <mergeCell ref="AC44:AD44"/>
    <mergeCell ref="AE44:AH44"/>
    <mergeCell ref="AI44:AL44"/>
    <mergeCell ref="AM44:AP44"/>
    <mergeCell ref="AQ44:AR44"/>
    <mergeCell ref="C45:E45"/>
    <mergeCell ref="G45:I45"/>
    <mergeCell ref="K45:M45"/>
    <mergeCell ref="Q45:S45"/>
    <mergeCell ref="U45:W45"/>
    <mergeCell ref="Y45:AA45"/>
    <mergeCell ref="AE45:AG45"/>
    <mergeCell ref="EU44:EX44"/>
    <mergeCell ref="EY44:EZ44"/>
    <mergeCell ref="DY44:EB44"/>
    <mergeCell ref="EC44:EF44"/>
    <mergeCell ref="EG44:EJ44"/>
    <mergeCell ref="EK44:EL44"/>
    <mergeCell ref="EM44:EP44"/>
    <mergeCell ref="EQ44:ET44"/>
    <mergeCell ref="DE44:DH44"/>
    <mergeCell ref="DI44:DJ44"/>
    <mergeCell ref="DK44:DN44"/>
    <mergeCell ref="DO44:DR44"/>
    <mergeCell ref="DS44:DV44"/>
    <mergeCell ref="DW44:DX44"/>
    <mergeCell ref="CI44:CL44"/>
    <mergeCell ref="CM44:CP44"/>
    <mergeCell ref="CQ44:CT44"/>
    <mergeCell ref="AI45:AK45"/>
    <mergeCell ref="AM45:AO45"/>
    <mergeCell ref="AS45:AU45"/>
    <mergeCell ref="AW45:AY45"/>
    <mergeCell ref="BA45:BC45"/>
    <mergeCell ref="BG45:BI45"/>
    <mergeCell ref="FO44:FR44"/>
    <mergeCell ref="FS44:FV44"/>
    <mergeCell ref="FW44:FZ44"/>
    <mergeCell ref="FA44:FD44"/>
    <mergeCell ref="FE44:FH44"/>
    <mergeCell ref="FI44:FL44"/>
    <mergeCell ref="FM44:FN44"/>
    <mergeCell ref="CU44:CV44"/>
    <mergeCell ref="CW44:CZ44"/>
    <mergeCell ref="DA44:DD44"/>
    <mergeCell ref="BO44:BR44"/>
    <mergeCell ref="BS44:BT44"/>
    <mergeCell ref="BU44:BX44"/>
    <mergeCell ref="BY44:CB44"/>
    <mergeCell ref="CC44:CF44"/>
    <mergeCell ref="CG44:CH44"/>
    <mergeCell ref="AS44:AV44"/>
    <mergeCell ref="AW44:AZ44"/>
    <mergeCell ref="CW45:CY45"/>
    <mergeCell ref="DA45:DC45"/>
    <mergeCell ref="DE45:DG45"/>
    <mergeCell ref="DK45:DM45"/>
    <mergeCell ref="BK45:BM45"/>
    <mergeCell ref="BO45:BQ45"/>
    <mergeCell ref="BU45:BW45"/>
    <mergeCell ref="BY45:CA45"/>
    <mergeCell ref="CC45:CE45"/>
    <mergeCell ref="CI45:CK45"/>
    <mergeCell ref="FS45:FU45"/>
    <mergeCell ref="FW45:FY45"/>
    <mergeCell ref="A75:B75"/>
    <mergeCell ref="C75:F75"/>
    <mergeCell ref="G75:J75"/>
    <mergeCell ref="K75:N75"/>
    <mergeCell ref="O75:P75"/>
    <mergeCell ref="Q75:T75"/>
    <mergeCell ref="U75:X75"/>
    <mergeCell ref="Y75:AB75"/>
    <mergeCell ref="EQ45:ES45"/>
    <mergeCell ref="EU45:EW45"/>
    <mergeCell ref="FA45:FC45"/>
    <mergeCell ref="FE45:FG45"/>
    <mergeCell ref="FI45:FK45"/>
    <mergeCell ref="FO45:FQ45"/>
    <mergeCell ref="DO45:DQ45"/>
    <mergeCell ref="DS45:DU45"/>
    <mergeCell ref="DY45:EA45"/>
    <mergeCell ref="EC45:EE45"/>
    <mergeCell ref="EG45:EI45"/>
    <mergeCell ref="EM45:EO45"/>
    <mergeCell ref="CM45:CO45"/>
    <mergeCell ref="CQ45:CS45"/>
    <mergeCell ref="AW75:AZ75"/>
    <mergeCell ref="BA75:BD75"/>
    <mergeCell ref="BE75:BF75"/>
    <mergeCell ref="BG75:BJ75"/>
    <mergeCell ref="BK75:BN75"/>
    <mergeCell ref="BO75:BR75"/>
    <mergeCell ref="AC75:AD75"/>
    <mergeCell ref="AE75:AH75"/>
    <mergeCell ref="AI75:AL75"/>
    <mergeCell ref="AM75:AP75"/>
    <mergeCell ref="AQ75:AR75"/>
    <mergeCell ref="AS75:AV75"/>
    <mergeCell ref="CM75:CP75"/>
    <mergeCell ref="CQ75:CT75"/>
    <mergeCell ref="CU75:CV75"/>
    <mergeCell ref="CW75:CZ75"/>
    <mergeCell ref="DA75:DD75"/>
    <mergeCell ref="DE75:DH75"/>
    <mergeCell ref="BS75:BT75"/>
    <mergeCell ref="BU75:BX75"/>
    <mergeCell ref="BY75:CB75"/>
    <mergeCell ref="CC75:CF75"/>
    <mergeCell ref="CG75:CH75"/>
    <mergeCell ref="CI75:CL75"/>
    <mergeCell ref="EK75:EL75"/>
    <mergeCell ref="EM75:EP75"/>
    <mergeCell ref="EQ75:ET75"/>
    <mergeCell ref="EU75:EX75"/>
    <mergeCell ref="DI75:DJ75"/>
    <mergeCell ref="DK75:DN75"/>
    <mergeCell ref="DO75:DR75"/>
    <mergeCell ref="DS75:DV75"/>
    <mergeCell ref="DW75:DX75"/>
    <mergeCell ref="DY75:EB75"/>
    <mergeCell ref="AC76:AD76"/>
    <mergeCell ref="AE76:AH76"/>
    <mergeCell ref="AI76:AL76"/>
    <mergeCell ref="AM76:AP76"/>
    <mergeCell ref="AQ76:AR76"/>
    <mergeCell ref="AS76:AV76"/>
    <mergeCell ref="FS75:FV75"/>
    <mergeCell ref="FW75:FZ75"/>
    <mergeCell ref="A76:B76"/>
    <mergeCell ref="C76:F76"/>
    <mergeCell ref="G76:J76"/>
    <mergeCell ref="K76:N76"/>
    <mergeCell ref="O76:P76"/>
    <mergeCell ref="Q76:T76"/>
    <mergeCell ref="U76:X76"/>
    <mergeCell ref="Y76:AB76"/>
    <mergeCell ref="EY75:EZ75"/>
    <mergeCell ref="FA75:FD75"/>
    <mergeCell ref="FE75:FH75"/>
    <mergeCell ref="FI75:FL75"/>
    <mergeCell ref="FM75:FN75"/>
    <mergeCell ref="FO75:FR75"/>
    <mergeCell ref="EC75:EF75"/>
    <mergeCell ref="EG75:EJ75"/>
    <mergeCell ref="BS76:BT76"/>
    <mergeCell ref="BU76:BX76"/>
    <mergeCell ref="BY76:CB76"/>
    <mergeCell ref="CC76:CF76"/>
    <mergeCell ref="CG76:CH76"/>
    <mergeCell ref="CI76:CL76"/>
    <mergeCell ref="AW76:AZ76"/>
    <mergeCell ref="BA76:BD76"/>
    <mergeCell ref="BE76:BF76"/>
    <mergeCell ref="BG76:BJ76"/>
    <mergeCell ref="BK76:BN76"/>
    <mergeCell ref="BO76:BR76"/>
    <mergeCell ref="DO76:DR76"/>
    <mergeCell ref="DS76:DV76"/>
    <mergeCell ref="DW76:DX76"/>
    <mergeCell ref="DY76:EB76"/>
    <mergeCell ref="CM76:CP76"/>
    <mergeCell ref="CQ76:CT76"/>
    <mergeCell ref="CU76:CV76"/>
    <mergeCell ref="CW76:CZ76"/>
    <mergeCell ref="DA76:DD76"/>
    <mergeCell ref="DE76:DH76"/>
    <mergeCell ref="FS76:FV76"/>
    <mergeCell ref="FW76:FZ76"/>
    <mergeCell ref="C77:E77"/>
    <mergeCell ref="G77:I77"/>
    <mergeCell ref="K77:M77"/>
    <mergeCell ref="Q77:S77"/>
    <mergeCell ref="U77:W77"/>
    <mergeCell ref="Y77:AA77"/>
    <mergeCell ref="AE77:AG77"/>
    <mergeCell ref="AI77:AK77"/>
    <mergeCell ref="EY76:EZ76"/>
    <mergeCell ref="FA76:FD76"/>
    <mergeCell ref="FE76:FH76"/>
    <mergeCell ref="FI76:FL76"/>
    <mergeCell ref="FM76:FN76"/>
    <mergeCell ref="FO76:FR76"/>
    <mergeCell ref="EC76:EF76"/>
    <mergeCell ref="EG76:EJ76"/>
    <mergeCell ref="EK76:EL76"/>
    <mergeCell ref="EM76:EP76"/>
    <mergeCell ref="EQ76:ET76"/>
    <mergeCell ref="EU76:EX76"/>
    <mergeCell ref="DI76:DJ76"/>
    <mergeCell ref="DK76:DN76"/>
    <mergeCell ref="BO77:BQ77"/>
    <mergeCell ref="BU77:BW77"/>
    <mergeCell ref="BY77:CA77"/>
    <mergeCell ref="CC77:CE77"/>
    <mergeCell ref="CI77:CK77"/>
    <mergeCell ref="CM77:CO77"/>
    <mergeCell ref="AM77:AO77"/>
    <mergeCell ref="AS77:AU77"/>
    <mergeCell ref="AW77:AY77"/>
    <mergeCell ref="BA77:BC77"/>
    <mergeCell ref="BG77:BI77"/>
    <mergeCell ref="BK77:BM77"/>
    <mergeCell ref="EC77:EE77"/>
    <mergeCell ref="EG77:EI77"/>
    <mergeCell ref="EM77:EO77"/>
    <mergeCell ref="EQ77:ES77"/>
    <mergeCell ref="CQ77:CS77"/>
    <mergeCell ref="CW77:CY77"/>
    <mergeCell ref="DA77:DC77"/>
    <mergeCell ref="DE77:DG77"/>
    <mergeCell ref="DK77:DM77"/>
    <mergeCell ref="DO77:DQ77"/>
    <mergeCell ref="AE107:AH107"/>
    <mergeCell ref="AI107:AL107"/>
    <mergeCell ref="AM107:AP107"/>
    <mergeCell ref="AQ107:AR107"/>
    <mergeCell ref="AS107:AV107"/>
    <mergeCell ref="AW107:AZ107"/>
    <mergeCell ref="FW77:FY77"/>
    <mergeCell ref="A107:B107"/>
    <mergeCell ref="C107:F107"/>
    <mergeCell ref="G107:J107"/>
    <mergeCell ref="K107:N107"/>
    <mergeCell ref="O107:P107"/>
    <mergeCell ref="Q107:T107"/>
    <mergeCell ref="U107:X107"/>
    <mergeCell ref="Y107:AB107"/>
    <mergeCell ref="AC107:AD107"/>
    <mergeCell ref="EU77:EW77"/>
    <mergeCell ref="FA77:FC77"/>
    <mergeCell ref="FE77:FG77"/>
    <mergeCell ref="FI77:FK77"/>
    <mergeCell ref="FO77:FQ77"/>
    <mergeCell ref="FS77:FU77"/>
    <mergeCell ref="DS77:DU77"/>
    <mergeCell ref="DY77:EA77"/>
    <mergeCell ref="BU107:BX107"/>
    <mergeCell ref="BY107:CB107"/>
    <mergeCell ref="CC107:CF107"/>
    <mergeCell ref="CG107:CH107"/>
    <mergeCell ref="CI107:CL107"/>
    <mergeCell ref="CM107:CP107"/>
    <mergeCell ref="BA107:BD107"/>
    <mergeCell ref="BE107:BF107"/>
    <mergeCell ref="BG107:BJ107"/>
    <mergeCell ref="BK107:BN107"/>
    <mergeCell ref="BO107:BR107"/>
    <mergeCell ref="BS107:BT107"/>
    <mergeCell ref="DS107:DV107"/>
    <mergeCell ref="DW107:DX107"/>
    <mergeCell ref="DY107:EB107"/>
    <mergeCell ref="EC107:EF107"/>
    <mergeCell ref="CQ107:CT107"/>
    <mergeCell ref="CU107:CV107"/>
    <mergeCell ref="CW107:CZ107"/>
    <mergeCell ref="DA107:DD107"/>
    <mergeCell ref="DE107:DH107"/>
    <mergeCell ref="DI107:DJ107"/>
    <mergeCell ref="FW107:FZ107"/>
    <mergeCell ref="A108:B108"/>
    <mergeCell ref="C108:F108"/>
    <mergeCell ref="G108:J108"/>
    <mergeCell ref="K108:N108"/>
    <mergeCell ref="O108:P108"/>
    <mergeCell ref="Q108:T108"/>
    <mergeCell ref="U108:X108"/>
    <mergeCell ref="Y108:AB108"/>
    <mergeCell ref="AC108:AD108"/>
    <mergeCell ref="FA107:FD107"/>
    <mergeCell ref="FE107:FH107"/>
    <mergeCell ref="FI107:FL107"/>
    <mergeCell ref="FM107:FN107"/>
    <mergeCell ref="FO107:FR107"/>
    <mergeCell ref="FS107:FV107"/>
    <mergeCell ref="EG107:EJ107"/>
    <mergeCell ref="EK107:EL107"/>
    <mergeCell ref="EM107:EP107"/>
    <mergeCell ref="EQ107:ET107"/>
    <mergeCell ref="EU107:EX107"/>
    <mergeCell ref="EY107:EZ107"/>
    <mergeCell ref="DK107:DN107"/>
    <mergeCell ref="DO107:DR107"/>
    <mergeCell ref="BA108:BD108"/>
    <mergeCell ref="BE108:BF108"/>
    <mergeCell ref="BG108:BJ108"/>
    <mergeCell ref="BK108:BN108"/>
    <mergeCell ref="BO108:BR108"/>
    <mergeCell ref="BS108:BT108"/>
    <mergeCell ref="AE108:AH108"/>
    <mergeCell ref="AI108:AL108"/>
    <mergeCell ref="AM108:AP108"/>
    <mergeCell ref="AQ108:AR108"/>
    <mergeCell ref="AS108:AV108"/>
    <mergeCell ref="AW108:AZ108"/>
    <mergeCell ref="CQ108:CT108"/>
    <mergeCell ref="CU108:CV108"/>
    <mergeCell ref="CW108:CZ108"/>
    <mergeCell ref="DA108:DD108"/>
    <mergeCell ref="DE108:DH108"/>
    <mergeCell ref="DI108:DJ108"/>
    <mergeCell ref="BU108:BX108"/>
    <mergeCell ref="BY108:CB108"/>
    <mergeCell ref="CC108:CF108"/>
    <mergeCell ref="CG108:CH108"/>
    <mergeCell ref="CI108:CL108"/>
    <mergeCell ref="CM108:CP108"/>
    <mergeCell ref="EM108:EP108"/>
    <mergeCell ref="EQ108:ET108"/>
    <mergeCell ref="EU108:EX108"/>
    <mergeCell ref="EY108:EZ108"/>
    <mergeCell ref="DK108:DN108"/>
    <mergeCell ref="DO108:DR108"/>
    <mergeCell ref="DS108:DV108"/>
    <mergeCell ref="DW108:DX108"/>
    <mergeCell ref="DY108:EB108"/>
    <mergeCell ref="EC108:EF108"/>
    <mergeCell ref="AS109:AU109"/>
    <mergeCell ref="AW109:AY109"/>
    <mergeCell ref="BA109:BC109"/>
    <mergeCell ref="BG109:BI109"/>
    <mergeCell ref="BK109:BM109"/>
    <mergeCell ref="BO109:BQ109"/>
    <mergeCell ref="FW108:FZ108"/>
    <mergeCell ref="C109:E109"/>
    <mergeCell ref="G109:I109"/>
    <mergeCell ref="K109:M109"/>
    <mergeCell ref="Q109:S109"/>
    <mergeCell ref="U109:W109"/>
    <mergeCell ref="Y109:AA109"/>
    <mergeCell ref="AE109:AG109"/>
    <mergeCell ref="AI109:AK109"/>
    <mergeCell ref="AM109:AO109"/>
    <mergeCell ref="FA108:FD108"/>
    <mergeCell ref="FE108:FH108"/>
    <mergeCell ref="FI108:FL108"/>
    <mergeCell ref="FM108:FN108"/>
    <mergeCell ref="FO108:FR108"/>
    <mergeCell ref="FS108:FV108"/>
    <mergeCell ref="EG108:EJ108"/>
    <mergeCell ref="EK108:EL108"/>
    <mergeCell ref="CW109:CY109"/>
    <mergeCell ref="DA109:DC109"/>
    <mergeCell ref="DE109:DG109"/>
    <mergeCell ref="DK109:DM109"/>
    <mergeCell ref="DO109:DQ109"/>
    <mergeCell ref="DS109:DU109"/>
    <mergeCell ref="BU109:BW109"/>
    <mergeCell ref="BY109:CA109"/>
    <mergeCell ref="CC109:CE109"/>
    <mergeCell ref="CI109:CK109"/>
    <mergeCell ref="CM109:CO109"/>
    <mergeCell ref="CQ109:CS109"/>
    <mergeCell ref="FA109:FC109"/>
    <mergeCell ref="FE109:FG109"/>
    <mergeCell ref="FI109:FK109"/>
    <mergeCell ref="FO109:FQ109"/>
    <mergeCell ref="FS109:FU109"/>
    <mergeCell ref="FW109:FY109"/>
    <mergeCell ref="DY109:EA109"/>
    <mergeCell ref="EC109:EE109"/>
    <mergeCell ref="EG109:EI109"/>
    <mergeCell ref="EM109:EO109"/>
    <mergeCell ref="EQ109:ES109"/>
    <mergeCell ref="EU109:EW109"/>
  </mergeCells>
  <printOptions horizontalCentered="1"/>
  <pageMargins left="0.5" right="0.5" top="0.75" bottom="0.75" header="0.5" footer="0.5"/>
  <pageSetup scale="82" fitToWidth="13" fitToHeight="4" pageOrder="overThenDown" orientation="landscape" r:id="rId1"/>
  <headerFooter alignWithMargins="0">
    <oddHeader>&amp;C&amp;G</oddHeader>
    <oddFooter xml:space="preserve">&amp;C
&amp;G
</oddFooter>
  </headerFooter>
  <rowBreaks count="2" manualBreakCount="2">
    <brk id="32" max="16383" man="1"/>
    <brk id="96" max="16383" man="1"/>
  </rowBreaks>
  <colBreaks count="8" manualBreakCount="8">
    <brk id="14" max="1048575" man="1"/>
    <brk id="42" max="1048575" man="1"/>
    <brk id="56" max="1048575" man="1"/>
    <brk id="70" max="1048575" man="1"/>
    <brk id="84" max="1048575" man="1"/>
    <brk id="112" max="1048575" man="1"/>
    <brk id="126" max="1048575" man="1"/>
    <brk id="140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157"/>
  <sheetViews>
    <sheetView view="pageBreakPreview" zoomScaleNormal="100" zoomScaleSheetLayoutView="100" workbookViewId="0">
      <selection activeCell="E26" sqref="E26"/>
    </sheetView>
  </sheetViews>
  <sheetFormatPr defaultRowHeight="12.75" x14ac:dyDescent="0.2"/>
  <cols>
    <col min="1" max="1" width="6.7109375" style="298" customWidth="1"/>
    <col min="2" max="2" width="30.7109375" style="298" customWidth="1"/>
    <col min="3" max="3" width="10.85546875" style="519" customWidth="1"/>
    <col min="4" max="4" width="9" style="519" bestFit="1" customWidth="1"/>
    <col min="5" max="5" width="12.140625" style="519" customWidth="1"/>
    <col min="6" max="6" width="23.7109375" style="519" customWidth="1"/>
    <col min="7" max="7" width="10.85546875" style="519" customWidth="1"/>
    <col min="8" max="8" width="9" style="519" customWidth="1"/>
    <col min="9" max="9" width="10.85546875" style="519" customWidth="1"/>
    <col min="10" max="10" width="9" style="521" customWidth="1"/>
    <col min="11" max="16" width="9.140625" style="521" customWidth="1"/>
    <col min="17" max="40" width="9" style="521" customWidth="1"/>
    <col min="41" max="45" width="9.140625" style="171"/>
    <col min="46" max="16384" width="9.140625" style="298"/>
  </cols>
  <sheetData>
    <row r="2" spans="1:40" x14ac:dyDescent="0.2">
      <c r="A2" s="298" t="s">
        <v>430</v>
      </c>
      <c r="G2" s="520" t="s">
        <v>431</v>
      </c>
    </row>
    <row r="3" spans="1:40" ht="15.75" x14ac:dyDescent="0.25">
      <c r="A3" s="477"/>
      <c r="B3" s="477"/>
      <c r="C3" s="477"/>
      <c r="D3" s="477"/>
      <c r="E3" s="477"/>
      <c r="F3" s="477"/>
      <c r="G3" s="477"/>
      <c r="H3" s="477"/>
      <c r="I3" s="477"/>
      <c r="J3" s="515"/>
      <c r="K3" s="515"/>
      <c r="L3" s="515"/>
      <c r="M3" s="515"/>
      <c r="N3" s="515"/>
      <c r="O3" s="515"/>
      <c r="P3" s="515"/>
      <c r="Q3" s="515"/>
      <c r="R3" s="515"/>
      <c r="S3" s="515"/>
      <c r="T3" s="515"/>
      <c r="U3" s="515"/>
      <c r="V3" s="515"/>
      <c r="W3" s="515"/>
      <c r="X3" s="515"/>
      <c r="Y3" s="515"/>
      <c r="Z3" s="515"/>
      <c r="AA3" s="515"/>
      <c r="AB3" s="515"/>
      <c r="AC3" s="515"/>
      <c r="AD3" s="515"/>
      <c r="AE3" s="515"/>
      <c r="AF3" s="515"/>
      <c r="AG3" s="515"/>
      <c r="AH3" s="515"/>
      <c r="AI3" s="515"/>
      <c r="AJ3" s="515"/>
      <c r="AK3" s="515"/>
      <c r="AL3" s="515"/>
      <c r="AM3" s="515"/>
      <c r="AN3" s="515"/>
    </row>
    <row r="4" spans="1:40" x14ac:dyDescent="0.2">
      <c r="B4" s="489" t="s">
        <v>432</v>
      </c>
      <c r="C4" s="1064" t="s">
        <v>433</v>
      </c>
      <c r="D4" s="1065"/>
      <c r="E4" s="642" t="s">
        <v>434</v>
      </c>
      <c r="F4" s="643" t="s">
        <v>432</v>
      </c>
      <c r="G4" s="1064" t="s">
        <v>433</v>
      </c>
      <c r="H4" s="1065"/>
      <c r="I4" s="644" t="s">
        <v>434</v>
      </c>
    </row>
    <row r="5" spans="1:40" x14ac:dyDescent="0.2">
      <c r="B5" s="495" t="s">
        <v>435</v>
      </c>
      <c r="C5" s="526" t="s">
        <v>436</v>
      </c>
      <c r="D5" s="527" t="s">
        <v>437</v>
      </c>
      <c r="E5" s="528" t="s">
        <v>438</v>
      </c>
      <c r="F5" s="525" t="s">
        <v>435</v>
      </c>
      <c r="G5" s="526" t="s">
        <v>436</v>
      </c>
      <c r="H5" s="527" t="s">
        <v>437</v>
      </c>
      <c r="I5" s="645" t="s">
        <v>438</v>
      </c>
    </row>
    <row r="6" spans="1:40" ht="12.75" customHeight="1" x14ac:dyDescent="0.25">
      <c r="A6" s="530"/>
      <c r="B6" s="303" t="s">
        <v>189</v>
      </c>
      <c r="C6" s="314">
        <f>'Summary (Proposed - Boiler 3)'!Y21</f>
        <v>43.493915294117642</v>
      </c>
      <c r="D6" s="314">
        <f>'Summary (Proposed - Boiler 3)'!Z21</f>
        <v>43.493915294117642</v>
      </c>
      <c r="E6" s="531"/>
      <c r="F6" s="532" t="s">
        <v>439</v>
      </c>
      <c r="G6" s="263">
        <f>'Summary (Proposed - Boiler 3)'!R21</f>
        <v>93.529220704853074</v>
      </c>
      <c r="H6" s="263">
        <f>'Summary (Proposed - Boiler 3)'!S21</f>
        <v>60.873630386969509</v>
      </c>
      <c r="I6" s="508"/>
    </row>
    <row r="7" spans="1:40" x14ac:dyDescent="0.2">
      <c r="B7" s="199"/>
      <c r="C7" s="195"/>
      <c r="D7" s="195"/>
      <c r="E7" s="195"/>
      <c r="F7" s="199"/>
      <c r="G7" s="195"/>
      <c r="H7" s="195"/>
      <c r="I7" s="195"/>
    </row>
    <row r="8" spans="1:40" x14ac:dyDescent="0.2">
      <c r="B8" s="489" t="s">
        <v>432</v>
      </c>
      <c r="C8" s="1064" t="s">
        <v>433</v>
      </c>
      <c r="D8" s="1065"/>
      <c r="E8" s="642" t="s">
        <v>434</v>
      </c>
      <c r="F8" s="643" t="s">
        <v>432</v>
      </c>
      <c r="G8" s="1064" t="s">
        <v>433</v>
      </c>
      <c r="H8" s="1065"/>
      <c r="I8" s="644" t="s">
        <v>434</v>
      </c>
    </row>
    <row r="9" spans="1:40" x14ac:dyDescent="0.2">
      <c r="B9" s="495" t="s">
        <v>435</v>
      </c>
      <c r="C9" s="526" t="s">
        <v>436</v>
      </c>
      <c r="D9" s="527" t="s">
        <v>437</v>
      </c>
      <c r="E9" s="528" t="s">
        <v>438</v>
      </c>
      <c r="F9" s="525" t="s">
        <v>435</v>
      </c>
      <c r="G9" s="526" t="s">
        <v>436</v>
      </c>
      <c r="H9" s="527" t="s">
        <v>437</v>
      </c>
      <c r="I9" s="645" t="s">
        <v>438</v>
      </c>
    </row>
    <row r="10" spans="1:40" ht="13.5" x14ac:dyDescent="0.25">
      <c r="A10" s="171"/>
      <c r="B10" s="534" t="s">
        <v>9</v>
      </c>
      <c r="C10" s="263">
        <f>'Summary (Proposed - Boiler 3)'!F21</f>
        <v>390.59225017195394</v>
      </c>
      <c r="D10" s="263">
        <f>'Summary (Proposed - Boiler 3)'!G21</f>
        <v>49.930615924895122</v>
      </c>
      <c r="E10" s="531"/>
      <c r="F10" s="532" t="s">
        <v>440</v>
      </c>
      <c r="G10" s="263">
        <f>'Summary (Proposed - Boiler 3)'!I21</f>
        <v>329.08169202278663</v>
      </c>
      <c r="H10" s="263">
        <f>'Summary (Proposed - Boiler 3)'!J21</f>
        <v>39.629708477786686</v>
      </c>
      <c r="I10" s="508"/>
    </row>
    <row r="11" spans="1:40" x14ac:dyDescent="0.2">
      <c r="B11" s="199"/>
      <c r="C11" s="195"/>
      <c r="D11" s="195"/>
      <c r="E11" s="195"/>
      <c r="F11" s="199"/>
      <c r="G11" s="195"/>
      <c r="H11" s="195"/>
      <c r="I11" s="195"/>
    </row>
    <row r="12" spans="1:40" x14ac:dyDescent="0.2">
      <c r="B12" s="489" t="s">
        <v>432</v>
      </c>
      <c r="C12" s="1064" t="s">
        <v>433</v>
      </c>
      <c r="D12" s="1065"/>
      <c r="E12" s="642" t="s">
        <v>434</v>
      </c>
      <c r="F12" s="643" t="s">
        <v>432</v>
      </c>
      <c r="G12" s="1064" t="s">
        <v>433</v>
      </c>
      <c r="H12" s="1065"/>
      <c r="I12" s="644" t="s">
        <v>434</v>
      </c>
    </row>
    <row r="13" spans="1:40" x14ac:dyDescent="0.2">
      <c r="B13" s="495" t="s">
        <v>435</v>
      </c>
      <c r="C13" s="526" t="s">
        <v>436</v>
      </c>
      <c r="D13" s="527" t="s">
        <v>437</v>
      </c>
      <c r="E13" s="528" t="s">
        <v>438</v>
      </c>
      <c r="F13" s="525" t="s">
        <v>435</v>
      </c>
      <c r="G13" s="526" t="s">
        <v>436</v>
      </c>
      <c r="H13" s="527" t="s">
        <v>437</v>
      </c>
      <c r="I13" s="645" t="s">
        <v>438</v>
      </c>
    </row>
    <row r="14" spans="1:40" ht="13.5" x14ac:dyDescent="0.25">
      <c r="A14" s="171"/>
      <c r="B14" s="534" t="s">
        <v>441</v>
      </c>
      <c r="C14" s="263">
        <f>'Summary (Proposed - Boiler 3)'!L21</f>
        <v>221.46460956164651</v>
      </c>
      <c r="D14" s="263">
        <f>'Summary (Proposed - Boiler 3)'!M21</f>
        <v>24.045276257528894</v>
      </c>
      <c r="E14" s="531"/>
      <c r="F14" s="532" t="s">
        <v>442</v>
      </c>
      <c r="G14" s="263">
        <f>'Summary (Proposed - Boiler 3)'!O21</f>
        <v>64.39065319274313</v>
      </c>
      <c r="H14" s="263">
        <f>'Summary (Proposed - Boiler 3)'!P21</f>
        <v>64.39065319274313</v>
      </c>
      <c r="I14" s="508"/>
    </row>
    <row r="16" spans="1:40" x14ac:dyDescent="0.2">
      <c r="B16" s="489" t="s">
        <v>432</v>
      </c>
      <c r="C16" s="1064" t="s">
        <v>433</v>
      </c>
      <c r="D16" s="1065"/>
      <c r="E16" s="642" t="s">
        <v>434</v>
      </c>
      <c r="F16" s="643" t="s">
        <v>432</v>
      </c>
      <c r="G16" s="1064" t="s">
        <v>433</v>
      </c>
      <c r="H16" s="1065"/>
      <c r="I16" s="644" t="s">
        <v>434</v>
      </c>
    </row>
    <row r="17" spans="1:40" x14ac:dyDescent="0.2">
      <c r="B17" s="495" t="s">
        <v>435</v>
      </c>
      <c r="C17" s="526" t="s">
        <v>436</v>
      </c>
      <c r="D17" s="527" t="s">
        <v>437</v>
      </c>
      <c r="E17" s="528" t="s">
        <v>438</v>
      </c>
      <c r="F17" s="525" t="s">
        <v>435</v>
      </c>
      <c r="G17" s="526" t="s">
        <v>436</v>
      </c>
      <c r="H17" s="527" t="s">
        <v>437</v>
      </c>
      <c r="I17" s="645" t="s">
        <v>438</v>
      </c>
    </row>
    <row r="18" spans="1:40" ht="13.5" x14ac:dyDescent="0.25">
      <c r="B18" s="303" t="s">
        <v>6</v>
      </c>
      <c r="C18" s="314">
        <f>'Summary (Proposed - Boiler 3)'!AB21</f>
        <v>24.610849614754102</v>
      </c>
      <c r="D18" s="314">
        <f>'Summary (Proposed - Boiler 3)'!AC21</f>
        <v>24.610849614754102</v>
      </c>
      <c r="E18" s="531"/>
      <c r="F18" s="532" t="s">
        <v>443</v>
      </c>
      <c r="G18" s="316">
        <f>'Summary (Proposed - Boiler 3)'!AE21</f>
        <v>95033.62916967264</v>
      </c>
      <c r="H18" s="316">
        <f>'Summary (Proposed - Boiler 3)'!AF21</f>
        <v>95033.62916967264</v>
      </c>
      <c r="I18" s="508"/>
    </row>
    <row r="20" spans="1:40" x14ac:dyDescent="0.2">
      <c r="B20" s="489" t="s">
        <v>432</v>
      </c>
      <c r="C20" s="1064" t="s">
        <v>433</v>
      </c>
      <c r="D20" s="1065"/>
      <c r="E20" s="642" t="s">
        <v>434</v>
      </c>
      <c r="F20" s="643" t="s">
        <v>432</v>
      </c>
      <c r="G20" s="1064" t="s">
        <v>433</v>
      </c>
      <c r="H20" s="1065"/>
      <c r="I20" s="644" t="s">
        <v>434</v>
      </c>
    </row>
    <row r="21" spans="1:40" x14ac:dyDescent="0.2">
      <c r="B21" s="495" t="s">
        <v>435</v>
      </c>
      <c r="C21" s="526" t="s">
        <v>436</v>
      </c>
      <c r="D21" s="527" t="s">
        <v>437</v>
      </c>
      <c r="E21" s="528" t="s">
        <v>438</v>
      </c>
      <c r="F21" s="525" t="s">
        <v>435</v>
      </c>
      <c r="G21" s="526" t="s">
        <v>436</v>
      </c>
      <c r="H21" s="527" t="s">
        <v>437</v>
      </c>
      <c r="I21" s="645" t="s">
        <v>438</v>
      </c>
    </row>
    <row r="22" spans="1:40" ht="13.5" x14ac:dyDescent="0.25">
      <c r="A22" s="171"/>
      <c r="B22" s="534" t="s">
        <v>444</v>
      </c>
      <c r="C22" s="316">
        <f>'Combustion (Proposed)'!D208</f>
        <v>94519.242250222756</v>
      </c>
      <c r="D22" s="316">
        <f>'Combustion (Proposed)'!E208</f>
        <v>94519.242250222756</v>
      </c>
      <c r="E22" s="531"/>
      <c r="F22" s="178" t="s">
        <v>158</v>
      </c>
      <c r="G22" s="316">
        <f>'Combustion (Proposed)'!D211</f>
        <v>94521.176799684035</v>
      </c>
      <c r="H22" s="316">
        <f>'Combustion (Proposed)'!E211</f>
        <v>94521.176799684035</v>
      </c>
      <c r="I22" s="508"/>
    </row>
    <row r="24" spans="1:40" x14ac:dyDescent="0.2">
      <c r="B24" s="489" t="s">
        <v>432</v>
      </c>
      <c r="C24" s="1064" t="s">
        <v>433</v>
      </c>
      <c r="D24" s="1065"/>
      <c r="E24" s="642" t="s">
        <v>434</v>
      </c>
      <c r="F24" s="643" t="s">
        <v>432</v>
      </c>
      <c r="G24" s="1064" t="s">
        <v>433</v>
      </c>
      <c r="H24" s="1065"/>
      <c r="I24" s="644" t="s">
        <v>434</v>
      </c>
    </row>
    <row r="25" spans="1:40" x14ac:dyDescent="0.2">
      <c r="B25" s="495" t="s">
        <v>435</v>
      </c>
      <c r="C25" s="526" t="s">
        <v>436</v>
      </c>
      <c r="D25" s="527" t="s">
        <v>437</v>
      </c>
      <c r="E25" s="528" t="s">
        <v>438</v>
      </c>
      <c r="F25" s="525" t="s">
        <v>435</v>
      </c>
      <c r="G25" s="526" t="s">
        <v>436</v>
      </c>
      <c r="H25" s="527" t="s">
        <v>437</v>
      </c>
      <c r="I25" s="645" t="s">
        <v>438</v>
      </c>
    </row>
    <row r="26" spans="1:40" ht="15.75" x14ac:dyDescent="0.3">
      <c r="A26" s="536"/>
      <c r="B26" s="535" t="s">
        <v>445</v>
      </c>
      <c r="C26" s="263">
        <f>'Combustion (Proposed)'!D209</f>
        <v>1.1909048235294117</v>
      </c>
      <c r="D26" s="263">
        <f>'Combustion (Proposed)'!E209</f>
        <v>1.1909048235294117</v>
      </c>
      <c r="E26" s="531"/>
      <c r="F26" s="532" t="s">
        <v>446</v>
      </c>
      <c r="G26" s="263">
        <f>'Combustion (Proposed)'!D210</f>
        <v>5.1948236065573772</v>
      </c>
      <c r="H26" s="263">
        <f>'Combustion (Proposed)'!E210</f>
        <v>5.1948236065573772</v>
      </c>
      <c r="I26" s="508"/>
    </row>
    <row r="27" spans="1:40" ht="15.75" x14ac:dyDescent="0.3">
      <c r="A27" s="536"/>
      <c r="B27" s="646"/>
      <c r="C27" s="647"/>
      <c r="D27" s="647"/>
      <c r="E27" s="647"/>
      <c r="F27" s="648"/>
      <c r="G27" s="647"/>
      <c r="H27" s="647"/>
      <c r="I27" s="647"/>
    </row>
    <row r="28" spans="1:40" ht="15.75" x14ac:dyDescent="0.25">
      <c r="A28" s="477"/>
      <c r="B28" s="489" t="s">
        <v>432</v>
      </c>
      <c r="C28" s="1064" t="s">
        <v>433</v>
      </c>
      <c r="D28" s="1065"/>
      <c r="E28" s="642" t="s">
        <v>434</v>
      </c>
      <c r="F28" s="643" t="s">
        <v>432</v>
      </c>
      <c r="G28" s="1064" t="s">
        <v>433</v>
      </c>
      <c r="H28" s="1065"/>
      <c r="I28" s="644" t="s">
        <v>434</v>
      </c>
      <c r="J28" s="515"/>
      <c r="K28" s="515"/>
      <c r="L28" s="515"/>
      <c r="M28" s="515"/>
      <c r="N28" s="515"/>
      <c r="O28" s="515"/>
      <c r="P28" s="515"/>
      <c r="Q28" s="515"/>
      <c r="R28" s="515"/>
      <c r="S28" s="515"/>
      <c r="T28" s="515"/>
      <c r="U28" s="515"/>
      <c r="V28" s="515"/>
      <c r="W28" s="515"/>
      <c r="X28" s="515"/>
      <c r="Y28" s="515"/>
      <c r="Z28" s="515"/>
      <c r="AA28" s="515"/>
      <c r="AB28" s="515"/>
      <c r="AC28" s="515"/>
      <c r="AD28" s="515"/>
      <c r="AE28" s="515"/>
      <c r="AF28" s="515"/>
      <c r="AG28" s="515"/>
      <c r="AH28" s="515"/>
      <c r="AI28" s="515"/>
      <c r="AJ28" s="515"/>
      <c r="AK28" s="515"/>
      <c r="AL28" s="515"/>
      <c r="AM28" s="515"/>
      <c r="AN28" s="515"/>
    </row>
    <row r="29" spans="1:40" ht="15.75" x14ac:dyDescent="0.25">
      <c r="A29" s="477"/>
      <c r="B29" s="495" t="s">
        <v>435</v>
      </c>
      <c r="C29" s="526" t="s">
        <v>436</v>
      </c>
      <c r="D29" s="527" t="s">
        <v>437</v>
      </c>
      <c r="E29" s="528" t="s">
        <v>438</v>
      </c>
      <c r="F29" s="525" t="s">
        <v>435</v>
      </c>
      <c r="G29" s="526" t="s">
        <v>436</v>
      </c>
      <c r="H29" s="527" t="s">
        <v>437</v>
      </c>
      <c r="I29" s="645" t="s">
        <v>438</v>
      </c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5"/>
      <c r="X29" s="515"/>
      <c r="Y29" s="515"/>
      <c r="Z29" s="515"/>
      <c r="AA29" s="515"/>
      <c r="AB29" s="515"/>
      <c r="AC29" s="515"/>
      <c r="AD29" s="515"/>
      <c r="AE29" s="515"/>
      <c r="AF29" s="515"/>
      <c r="AG29" s="515"/>
      <c r="AH29" s="515"/>
      <c r="AI29" s="515"/>
      <c r="AJ29" s="515"/>
      <c r="AK29" s="515"/>
      <c r="AL29" s="515"/>
      <c r="AM29" s="515"/>
      <c r="AN29" s="515"/>
    </row>
    <row r="30" spans="1:40" ht="15.75" x14ac:dyDescent="0.25">
      <c r="A30" s="477"/>
      <c r="B30" s="303" t="s">
        <v>113</v>
      </c>
      <c r="C30" s="179">
        <f>'Total HAPs'!M7</f>
        <v>9.2314461981250697E-5</v>
      </c>
      <c r="D30" s="179">
        <f>'Total HAPs'!N7</f>
        <v>9.2314461981250697E-5</v>
      </c>
      <c r="E30" s="531"/>
      <c r="F30" s="178" t="s">
        <v>114</v>
      </c>
      <c r="G30" s="179">
        <f>'Total HAPs'!M8</f>
        <v>1.1068985251780294E-6</v>
      </c>
      <c r="H30" s="179">
        <f>'Total HAPs'!N8</f>
        <v>1.1068985251780294E-6</v>
      </c>
      <c r="I30" s="508"/>
      <c r="J30" s="515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5"/>
      <c r="X30" s="515"/>
      <c r="Y30" s="515"/>
      <c r="Z30" s="515"/>
      <c r="AA30" s="515"/>
      <c r="AB30" s="515"/>
      <c r="AC30" s="515"/>
      <c r="AD30" s="515"/>
      <c r="AE30" s="515"/>
      <c r="AF30" s="515"/>
      <c r="AG30" s="515"/>
      <c r="AH30" s="515"/>
      <c r="AI30" s="515"/>
      <c r="AJ30" s="515"/>
      <c r="AK30" s="515"/>
      <c r="AL30" s="515"/>
      <c r="AM30" s="515"/>
      <c r="AN30" s="515"/>
    </row>
    <row r="31" spans="1:40" ht="15.75" x14ac:dyDescent="0.25">
      <c r="A31" s="477"/>
      <c r="B31" s="199"/>
      <c r="C31" s="195"/>
      <c r="D31" s="195"/>
      <c r="E31" s="195"/>
      <c r="F31" s="199"/>
      <c r="G31" s="195"/>
      <c r="H31" s="195"/>
      <c r="I31" s="19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515"/>
      <c r="Y31" s="515"/>
      <c r="Z31" s="515"/>
      <c r="AA31" s="515"/>
      <c r="AB31" s="515"/>
      <c r="AC31" s="515"/>
      <c r="AD31" s="515"/>
      <c r="AE31" s="515"/>
      <c r="AF31" s="515"/>
      <c r="AG31" s="515"/>
      <c r="AH31" s="515"/>
      <c r="AI31" s="515"/>
      <c r="AJ31" s="515"/>
      <c r="AK31" s="515"/>
      <c r="AL31" s="515"/>
      <c r="AM31" s="515"/>
      <c r="AN31" s="515"/>
    </row>
    <row r="32" spans="1:40" x14ac:dyDescent="0.2">
      <c r="A32" s="538" t="s">
        <v>589</v>
      </c>
      <c r="B32" s="298" t="s">
        <v>447</v>
      </c>
    </row>
    <row r="33" spans="1:43" x14ac:dyDescent="0.2">
      <c r="A33" s="737" t="s">
        <v>590</v>
      </c>
      <c r="B33" s="298" t="s">
        <v>448</v>
      </c>
    </row>
    <row r="35" spans="1:43" x14ac:dyDescent="0.2">
      <c r="A35" s="298" t="s">
        <v>430</v>
      </c>
      <c r="G35" s="520" t="s">
        <v>449</v>
      </c>
    </row>
    <row r="36" spans="1:43" x14ac:dyDescent="0.2">
      <c r="A36" s="199"/>
      <c r="B36" s="199"/>
      <c r="C36" s="195"/>
      <c r="D36" s="195"/>
      <c r="E36" s="195"/>
      <c r="F36" s="199"/>
      <c r="G36" s="195"/>
      <c r="H36" s="195"/>
      <c r="I36" s="195"/>
      <c r="J36" s="195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14"/>
      <c r="AD36" s="514"/>
      <c r="AE36" s="514"/>
      <c r="AF36" s="514"/>
      <c r="AG36" s="514"/>
      <c r="AH36" s="514"/>
      <c r="AI36" s="514"/>
      <c r="AJ36" s="514"/>
      <c r="AK36" s="514"/>
      <c r="AL36" s="514"/>
      <c r="AM36" s="514"/>
      <c r="AN36" s="514"/>
      <c r="AO36" s="539"/>
      <c r="AP36" s="539"/>
      <c r="AQ36" s="539"/>
    </row>
    <row r="37" spans="1:43" ht="15.75" x14ac:dyDescent="0.25">
      <c r="A37" s="477"/>
      <c r="B37" s="489" t="s">
        <v>432</v>
      </c>
      <c r="C37" s="1064" t="s">
        <v>433</v>
      </c>
      <c r="D37" s="1065"/>
      <c r="E37" s="642" t="s">
        <v>434</v>
      </c>
      <c r="F37" s="643" t="s">
        <v>432</v>
      </c>
      <c r="G37" s="1064" t="s">
        <v>433</v>
      </c>
      <c r="H37" s="1065"/>
      <c r="I37" s="644" t="s">
        <v>434</v>
      </c>
      <c r="J37" s="515"/>
      <c r="K37" s="515"/>
      <c r="L37" s="515"/>
      <c r="M37" s="515"/>
      <c r="N37" s="515"/>
      <c r="O37" s="515"/>
      <c r="P37" s="515"/>
      <c r="Q37" s="515"/>
      <c r="R37" s="515"/>
      <c r="S37" s="515"/>
      <c r="T37" s="515"/>
      <c r="U37" s="515"/>
      <c r="V37" s="515"/>
      <c r="W37" s="515"/>
      <c r="X37" s="515"/>
      <c r="Y37" s="515"/>
      <c r="Z37" s="515"/>
      <c r="AA37" s="515"/>
      <c r="AB37" s="515"/>
      <c r="AC37" s="515"/>
      <c r="AD37" s="515"/>
      <c r="AE37" s="515"/>
      <c r="AF37" s="515"/>
      <c r="AG37" s="515"/>
      <c r="AH37" s="515"/>
      <c r="AI37" s="515"/>
      <c r="AJ37" s="515"/>
      <c r="AK37" s="515"/>
      <c r="AL37" s="515"/>
      <c r="AM37" s="515"/>
      <c r="AN37" s="515"/>
    </row>
    <row r="38" spans="1:43" ht="15.75" x14ac:dyDescent="0.25">
      <c r="A38" s="477"/>
      <c r="B38" s="495" t="s">
        <v>435</v>
      </c>
      <c r="C38" s="526" t="s">
        <v>436</v>
      </c>
      <c r="D38" s="527" t="s">
        <v>437</v>
      </c>
      <c r="E38" s="528" t="s">
        <v>438</v>
      </c>
      <c r="F38" s="525" t="s">
        <v>435</v>
      </c>
      <c r="G38" s="526" t="s">
        <v>436</v>
      </c>
      <c r="H38" s="527" t="s">
        <v>437</v>
      </c>
      <c r="I38" s="645" t="s">
        <v>438</v>
      </c>
      <c r="J38" s="515"/>
      <c r="K38" s="515"/>
      <c r="L38" s="515"/>
      <c r="M38" s="515"/>
      <c r="N38" s="515"/>
      <c r="O38" s="515"/>
      <c r="P38" s="515"/>
      <c r="Q38" s="515"/>
      <c r="R38" s="515"/>
      <c r="S38" s="515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  <c r="AG38" s="515"/>
      <c r="AH38" s="515"/>
      <c r="AI38" s="515"/>
      <c r="AJ38" s="515"/>
      <c r="AK38" s="515"/>
      <c r="AL38" s="515"/>
      <c r="AM38" s="515"/>
      <c r="AN38" s="515"/>
    </row>
    <row r="39" spans="1:43" ht="15.75" x14ac:dyDescent="0.25">
      <c r="A39" s="477"/>
      <c r="B39" s="303" t="s">
        <v>115</v>
      </c>
      <c r="C39" s="179">
        <f>'Total HAPs'!M9</f>
        <v>5.3376134415699451E-6</v>
      </c>
      <c r="D39" s="179">
        <f>'Total HAPs'!N9</f>
        <v>5.3376134415699451E-6</v>
      </c>
      <c r="E39" s="531"/>
      <c r="F39" s="178" t="s">
        <v>450</v>
      </c>
      <c r="G39" s="179">
        <f>'Total HAPs'!M10</f>
        <v>1.7544122869422522E-5</v>
      </c>
      <c r="H39" s="179">
        <f>'Total HAPs'!N10</f>
        <v>1.7544122869422522E-5</v>
      </c>
      <c r="I39" s="508"/>
      <c r="J39" s="515"/>
      <c r="K39" s="515"/>
      <c r="L39" s="515"/>
      <c r="M39" s="515"/>
      <c r="N39" s="515"/>
      <c r="O39" s="515"/>
      <c r="P39" s="515"/>
      <c r="Q39" s="515"/>
      <c r="R39" s="515"/>
      <c r="S39" s="515"/>
      <c r="T39" s="515"/>
      <c r="U39" s="515"/>
      <c r="V39" s="515"/>
      <c r="W39" s="515"/>
      <c r="X39" s="515"/>
      <c r="Y39" s="515"/>
      <c r="Z39" s="515"/>
      <c r="AA39" s="515"/>
      <c r="AB39" s="515"/>
      <c r="AC39" s="515"/>
      <c r="AD39" s="515"/>
      <c r="AE39" s="515"/>
      <c r="AF39" s="515"/>
      <c r="AG39" s="515"/>
      <c r="AH39" s="515"/>
      <c r="AI39" s="515"/>
      <c r="AJ39" s="515"/>
      <c r="AK39" s="515"/>
      <c r="AL39" s="515"/>
      <c r="AM39" s="515"/>
      <c r="AN39" s="515"/>
    </row>
    <row r="40" spans="1:43" ht="15.75" x14ac:dyDescent="0.25">
      <c r="A40" s="477"/>
      <c r="B40" s="199"/>
      <c r="C40" s="195"/>
      <c r="D40" s="195"/>
      <c r="E40" s="195"/>
      <c r="F40" s="199"/>
      <c r="G40" s="195"/>
      <c r="H40" s="195"/>
      <c r="I40" s="19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15"/>
      <c r="AI40" s="515"/>
      <c r="AJ40" s="515"/>
      <c r="AK40" s="515"/>
      <c r="AL40" s="515"/>
      <c r="AM40" s="515"/>
      <c r="AN40" s="515"/>
    </row>
    <row r="41" spans="1:43" ht="15.75" x14ac:dyDescent="0.25">
      <c r="A41" s="477"/>
      <c r="B41" s="489" t="s">
        <v>432</v>
      </c>
      <c r="C41" s="1064" t="s">
        <v>433</v>
      </c>
      <c r="D41" s="1065"/>
      <c r="E41" s="642" t="s">
        <v>434</v>
      </c>
      <c r="F41" s="643" t="s">
        <v>432</v>
      </c>
      <c r="G41" s="1064" t="s">
        <v>433</v>
      </c>
      <c r="H41" s="1065"/>
      <c r="I41" s="644" t="s">
        <v>434</v>
      </c>
      <c r="J41" s="515"/>
      <c r="K41" s="515"/>
      <c r="L41" s="515"/>
      <c r="M41" s="515"/>
      <c r="N41" s="515"/>
      <c r="O41" s="515"/>
      <c r="P41" s="515"/>
      <c r="Q41" s="515"/>
      <c r="R41" s="515"/>
      <c r="S41" s="515"/>
      <c r="T41" s="515"/>
      <c r="U41" s="515"/>
      <c r="V41" s="515"/>
      <c r="W41" s="515"/>
      <c r="X41" s="515"/>
      <c r="Y41" s="515"/>
      <c r="Z41" s="515"/>
      <c r="AA41" s="515"/>
      <c r="AB41" s="515"/>
      <c r="AC41" s="515"/>
      <c r="AD41" s="515"/>
      <c r="AE41" s="515"/>
      <c r="AF41" s="515"/>
      <c r="AG41" s="515"/>
      <c r="AH41" s="515"/>
      <c r="AI41" s="515"/>
      <c r="AJ41" s="515"/>
      <c r="AK41" s="515"/>
      <c r="AL41" s="515"/>
      <c r="AM41" s="515"/>
      <c r="AN41" s="515"/>
    </row>
    <row r="42" spans="1:43" ht="15.75" x14ac:dyDescent="0.25">
      <c r="A42" s="477"/>
      <c r="B42" s="495" t="s">
        <v>435</v>
      </c>
      <c r="C42" s="526" t="s">
        <v>436</v>
      </c>
      <c r="D42" s="527" t="s">
        <v>437</v>
      </c>
      <c r="E42" s="528" t="s">
        <v>438</v>
      </c>
      <c r="F42" s="525" t="s">
        <v>435</v>
      </c>
      <c r="G42" s="526" t="s">
        <v>436</v>
      </c>
      <c r="H42" s="527" t="s">
        <v>437</v>
      </c>
      <c r="I42" s="645" t="s">
        <v>438</v>
      </c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515"/>
      <c r="X42" s="515"/>
      <c r="Y42" s="515"/>
      <c r="Z42" s="515"/>
      <c r="AA42" s="515"/>
      <c r="AB42" s="515"/>
      <c r="AC42" s="515"/>
      <c r="AD42" s="515"/>
      <c r="AE42" s="515"/>
      <c r="AF42" s="515"/>
      <c r="AG42" s="515"/>
      <c r="AH42" s="515"/>
      <c r="AI42" s="515"/>
      <c r="AJ42" s="515"/>
      <c r="AK42" s="515"/>
      <c r="AL42" s="515"/>
      <c r="AM42" s="515"/>
      <c r="AN42" s="515"/>
    </row>
    <row r="43" spans="1:43" ht="15.75" x14ac:dyDescent="0.25">
      <c r="A43" s="477"/>
      <c r="B43" s="303" t="s">
        <v>117</v>
      </c>
      <c r="C43" s="179">
        <f>'Total HAPs'!M11</f>
        <v>1.0873478823529412E-3</v>
      </c>
      <c r="D43" s="179">
        <f>'Total HAPs'!N11</f>
        <v>1.0873478823529412E-3</v>
      </c>
      <c r="E43" s="531"/>
      <c r="F43" s="178" t="s">
        <v>118</v>
      </c>
      <c r="G43" s="179">
        <f>'Total HAPs'!M12</f>
        <v>6.2134164705882355E-7</v>
      </c>
      <c r="H43" s="179">
        <f>'Total HAPs'!N12</f>
        <v>6.2134164705882355E-7</v>
      </c>
      <c r="I43" s="508"/>
      <c r="J43" s="515"/>
      <c r="K43" s="515"/>
      <c r="L43" s="515"/>
      <c r="M43" s="515"/>
      <c r="N43" s="515"/>
      <c r="O43" s="515"/>
      <c r="P43" s="515"/>
      <c r="Q43" s="515"/>
      <c r="R43" s="515"/>
      <c r="S43" s="515"/>
      <c r="T43" s="515"/>
      <c r="U43" s="515"/>
      <c r="V43" s="515"/>
      <c r="W43" s="515"/>
      <c r="X43" s="515"/>
      <c r="Y43" s="515"/>
      <c r="Z43" s="515"/>
      <c r="AA43" s="515"/>
      <c r="AB43" s="515"/>
      <c r="AC43" s="515"/>
      <c r="AD43" s="515"/>
      <c r="AE43" s="515"/>
      <c r="AF43" s="515"/>
      <c r="AG43" s="515"/>
      <c r="AH43" s="515"/>
      <c r="AI43" s="515"/>
      <c r="AJ43" s="515"/>
      <c r="AK43" s="515"/>
      <c r="AL43" s="515"/>
      <c r="AM43" s="515"/>
      <c r="AN43" s="515"/>
    </row>
    <row r="44" spans="1:43" ht="15.75" x14ac:dyDescent="0.25">
      <c r="A44" s="477"/>
      <c r="B44" s="199"/>
      <c r="C44" s="195"/>
      <c r="D44" s="195"/>
      <c r="E44" s="195"/>
      <c r="F44" s="199"/>
      <c r="G44" s="195"/>
      <c r="H44" s="195"/>
      <c r="I44" s="195"/>
      <c r="J44" s="515"/>
      <c r="K44" s="515"/>
      <c r="L44" s="515"/>
      <c r="M44" s="515"/>
      <c r="N44" s="515"/>
      <c r="O44" s="515"/>
      <c r="P44" s="515"/>
      <c r="Q44" s="515"/>
      <c r="R44" s="515"/>
      <c r="S44" s="515"/>
      <c r="T44" s="515"/>
      <c r="U44" s="515"/>
      <c r="V44" s="515"/>
      <c r="W44" s="515"/>
      <c r="X44" s="515"/>
      <c r="Y44" s="515"/>
      <c r="Z44" s="515"/>
      <c r="AA44" s="515"/>
      <c r="AB44" s="515"/>
      <c r="AC44" s="515"/>
      <c r="AD44" s="515"/>
      <c r="AE44" s="515"/>
      <c r="AF44" s="515"/>
      <c r="AG44" s="515"/>
      <c r="AH44" s="515"/>
      <c r="AI44" s="515"/>
      <c r="AJ44" s="515"/>
      <c r="AK44" s="515"/>
      <c r="AL44" s="515"/>
      <c r="AM44" s="515"/>
      <c r="AN44" s="515"/>
    </row>
    <row r="45" spans="1:43" ht="15.75" x14ac:dyDescent="0.25">
      <c r="A45" s="477"/>
      <c r="B45" s="489" t="s">
        <v>432</v>
      </c>
      <c r="C45" s="1064" t="s">
        <v>433</v>
      </c>
      <c r="D45" s="1065"/>
      <c r="E45" s="642" t="s">
        <v>434</v>
      </c>
      <c r="F45" s="643" t="s">
        <v>432</v>
      </c>
      <c r="G45" s="1064" t="s">
        <v>433</v>
      </c>
      <c r="H45" s="1065"/>
      <c r="I45" s="644" t="s">
        <v>434</v>
      </c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5"/>
      <c r="X45" s="515"/>
      <c r="Y45" s="515"/>
      <c r="Z45" s="515"/>
      <c r="AA45" s="515"/>
      <c r="AB45" s="515"/>
      <c r="AC45" s="515"/>
      <c r="AD45" s="515"/>
      <c r="AE45" s="515"/>
      <c r="AF45" s="515"/>
      <c r="AG45" s="515"/>
      <c r="AH45" s="515"/>
      <c r="AI45" s="515"/>
      <c r="AJ45" s="515"/>
      <c r="AK45" s="515"/>
      <c r="AL45" s="515"/>
      <c r="AM45" s="515"/>
      <c r="AN45" s="515"/>
    </row>
    <row r="46" spans="1:43" ht="15.75" x14ac:dyDescent="0.25">
      <c r="A46" s="477"/>
      <c r="B46" s="495" t="s">
        <v>435</v>
      </c>
      <c r="C46" s="526" t="s">
        <v>436</v>
      </c>
      <c r="D46" s="527" t="s">
        <v>437</v>
      </c>
      <c r="E46" s="528" t="s">
        <v>438</v>
      </c>
      <c r="F46" s="525" t="s">
        <v>435</v>
      </c>
      <c r="G46" s="526" t="s">
        <v>436</v>
      </c>
      <c r="H46" s="527" t="s">
        <v>437</v>
      </c>
      <c r="I46" s="645" t="s">
        <v>438</v>
      </c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5"/>
      <c r="X46" s="515"/>
      <c r="Y46" s="515"/>
      <c r="Z46" s="515"/>
      <c r="AA46" s="515"/>
      <c r="AB46" s="515"/>
      <c r="AC46" s="515"/>
      <c r="AD46" s="515"/>
      <c r="AE46" s="515"/>
      <c r="AF46" s="515"/>
      <c r="AG46" s="515"/>
      <c r="AH46" s="515"/>
      <c r="AI46" s="515"/>
      <c r="AJ46" s="515"/>
      <c r="AK46" s="515"/>
      <c r="AL46" s="515"/>
      <c r="AM46" s="515"/>
      <c r="AN46" s="515"/>
    </row>
    <row r="47" spans="1:43" ht="15.75" x14ac:dyDescent="0.25">
      <c r="A47" s="477"/>
      <c r="B47" s="303" t="s">
        <v>119</v>
      </c>
      <c r="C47" s="179">
        <f>'Total HAPs'!M13</f>
        <v>6.4751376176422268E-6</v>
      </c>
      <c r="D47" s="179">
        <f>'Total HAPs'!N13</f>
        <v>6.4751376176422268E-6</v>
      </c>
      <c r="E47" s="531"/>
      <c r="F47" s="178" t="s">
        <v>120</v>
      </c>
      <c r="G47" s="179">
        <f>'Total HAPs'!M14</f>
        <v>9.8877101458590778E-6</v>
      </c>
      <c r="H47" s="179">
        <f>'Total HAPs'!N14</f>
        <v>9.8877101458590778E-6</v>
      </c>
      <c r="I47" s="508"/>
      <c r="J47" s="515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15"/>
      <c r="W47" s="515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5"/>
      <c r="AI47" s="515"/>
      <c r="AJ47" s="515"/>
      <c r="AK47" s="515"/>
      <c r="AL47" s="515"/>
      <c r="AM47" s="515"/>
      <c r="AN47" s="515"/>
    </row>
    <row r="48" spans="1:43" ht="15.75" x14ac:dyDescent="0.25">
      <c r="A48" s="477"/>
      <c r="B48" s="199"/>
      <c r="C48" s="195"/>
      <c r="D48" s="195"/>
      <c r="E48" s="195"/>
      <c r="F48" s="199"/>
      <c r="G48" s="195"/>
      <c r="H48" s="195"/>
      <c r="I48" s="195"/>
      <c r="J48" s="515"/>
      <c r="K48" s="515"/>
      <c r="L48" s="515"/>
      <c r="M48" s="515"/>
      <c r="N48" s="515"/>
      <c r="O48" s="515"/>
      <c r="P48" s="515"/>
      <c r="Q48" s="515"/>
      <c r="R48" s="515"/>
      <c r="S48" s="515"/>
      <c r="T48" s="515"/>
      <c r="U48" s="515"/>
      <c r="V48" s="515"/>
      <c r="W48" s="515"/>
      <c r="X48" s="515"/>
      <c r="Y48" s="515"/>
      <c r="Z48" s="515"/>
      <c r="AA48" s="515"/>
      <c r="AB48" s="515"/>
      <c r="AC48" s="515"/>
      <c r="AD48" s="515"/>
      <c r="AE48" s="515"/>
      <c r="AF48" s="515"/>
      <c r="AG48" s="515"/>
      <c r="AH48" s="515"/>
      <c r="AI48" s="515"/>
      <c r="AJ48" s="515"/>
      <c r="AK48" s="515"/>
      <c r="AL48" s="515"/>
      <c r="AM48" s="515"/>
      <c r="AN48" s="515"/>
    </row>
    <row r="49" spans="1:43" ht="15.75" x14ac:dyDescent="0.25">
      <c r="A49" s="477"/>
      <c r="B49" s="489" t="s">
        <v>432</v>
      </c>
      <c r="C49" s="1064" t="s">
        <v>433</v>
      </c>
      <c r="D49" s="1065"/>
      <c r="E49" s="642" t="s">
        <v>434</v>
      </c>
      <c r="F49" s="643" t="s">
        <v>432</v>
      </c>
      <c r="G49" s="1064" t="s">
        <v>433</v>
      </c>
      <c r="H49" s="1065"/>
      <c r="I49" s="644" t="s">
        <v>434</v>
      </c>
      <c r="J49" s="515"/>
      <c r="K49" s="515"/>
      <c r="L49" s="515"/>
      <c r="M49" s="515"/>
      <c r="N49" s="515"/>
      <c r="O49" s="515"/>
      <c r="P49" s="515"/>
      <c r="Q49" s="515"/>
      <c r="R49" s="515"/>
      <c r="S49" s="515"/>
      <c r="T49" s="515"/>
      <c r="U49" s="515"/>
      <c r="V49" s="515"/>
      <c r="W49" s="515"/>
      <c r="X49" s="515"/>
      <c r="Y49" s="515"/>
      <c r="Z49" s="515"/>
      <c r="AA49" s="515"/>
      <c r="AB49" s="515"/>
      <c r="AC49" s="515"/>
      <c r="AD49" s="515"/>
      <c r="AE49" s="515"/>
      <c r="AF49" s="515"/>
      <c r="AG49" s="515"/>
      <c r="AH49" s="515"/>
      <c r="AI49" s="515"/>
      <c r="AJ49" s="515"/>
      <c r="AK49" s="515"/>
      <c r="AL49" s="515"/>
      <c r="AM49" s="515"/>
      <c r="AN49" s="515"/>
    </row>
    <row r="50" spans="1:43" ht="15.75" x14ac:dyDescent="0.25">
      <c r="A50" s="477"/>
      <c r="B50" s="495" t="s">
        <v>435</v>
      </c>
      <c r="C50" s="526" t="s">
        <v>436</v>
      </c>
      <c r="D50" s="527" t="s">
        <v>437</v>
      </c>
      <c r="E50" s="528" t="s">
        <v>438</v>
      </c>
      <c r="F50" s="525" t="s">
        <v>435</v>
      </c>
      <c r="G50" s="526" t="s">
        <v>436</v>
      </c>
      <c r="H50" s="527" t="s">
        <v>437</v>
      </c>
      <c r="I50" s="645" t="s">
        <v>438</v>
      </c>
      <c r="J50" s="515"/>
      <c r="K50" s="515"/>
      <c r="L50" s="515"/>
      <c r="M50" s="515"/>
      <c r="N50" s="515"/>
      <c r="O50" s="515"/>
      <c r="P50" s="515"/>
      <c r="Q50" s="515"/>
      <c r="R50" s="515"/>
      <c r="S50" s="515"/>
      <c r="T50" s="515"/>
      <c r="U50" s="515"/>
      <c r="V50" s="515"/>
      <c r="W50" s="515"/>
      <c r="X50" s="515"/>
      <c r="Y50" s="515"/>
      <c r="Z50" s="515"/>
      <c r="AA50" s="515"/>
      <c r="AB50" s="515"/>
      <c r="AC50" s="515"/>
      <c r="AD50" s="515"/>
      <c r="AE50" s="515"/>
      <c r="AF50" s="515"/>
      <c r="AG50" s="515"/>
      <c r="AH50" s="515"/>
      <c r="AI50" s="515"/>
      <c r="AJ50" s="515"/>
      <c r="AK50" s="515"/>
      <c r="AL50" s="515"/>
      <c r="AM50" s="515"/>
      <c r="AN50" s="515"/>
    </row>
    <row r="51" spans="1:43" ht="15.75" x14ac:dyDescent="0.25">
      <c r="A51" s="477"/>
      <c r="B51" s="303" t="s">
        <v>121</v>
      </c>
      <c r="C51" s="179">
        <f>'Total HAPs'!M15</f>
        <v>6.4751376176422268E-6</v>
      </c>
      <c r="D51" s="179">
        <f>'Total HAPs'!N15</f>
        <v>6.4751376176422268E-6</v>
      </c>
      <c r="E51" s="531"/>
      <c r="F51" s="178" t="s">
        <v>122</v>
      </c>
      <c r="G51" s="179">
        <f>'Total HAPs'!M16</f>
        <v>1.0412721304046285E-5</v>
      </c>
      <c r="H51" s="179">
        <f>'Total HAPs'!N16</f>
        <v>1.0412721304046285E-5</v>
      </c>
      <c r="I51" s="508"/>
      <c r="J51" s="515"/>
      <c r="K51" s="515"/>
      <c r="L51" s="515"/>
      <c r="M51" s="515"/>
      <c r="N51" s="515"/>
      <c r="O51" s="515"/>
      <c r="P51" s="515"/>
      <c r="Q51" s="515"/>
      <c r="R51" s="515"/>
      <c r="S51" s="515"/>
      <c r="T51" s="515"/>
      <c r="U51" s="515"/>
      <c r="V51" s="515"/>
      <c r="W51" s="515"/>
      <c r="X51" s="515"/>
      <c r="Y51" s="515"/>
      <c r="Z51" s="515"/>
      <c r="AA51" s="515"/>
      <c r="AB51" s="515"/>
      <c r="AC51" s="515"/>
      <c r="AD51" s="515"/>
      <c r="AE51" s="515"/>
      <c r="AF51" s="515"/>
      <c r="AG51" s="515"/>
      <c r="AH51" s="515"/>
      <c r="AI51" s="515"/>
      <c r="AJ51" s="515"/>
      <c r="AK51" s="515"/>
      <c r="AL51" s="515"/>
      <c r="AM51" s="515"/>
      <c r="AN51" s="515"/>
    </row>
    <row r="52" spans="1:43" ht="15.75" x14ac:dyDescent="0.25">
      <c r="A52" s="477"/>
      <c r="B52" s="477"/>
      <c r="C52" s="477"/>
      <c r="D52" s="477"/>
      <c r="E52" s="477"/>
      <c r="F52" s="477"/>
      <c r="G52" s="477"/>
      <c r="H52" s="477"/>
      <c r="I52" s="477"/>
      <c r="J52" s="515"/>
      <c r="K52" s="515"/>
      <c r="L52" s="515"/>
      <c r="M52" s="515"/>
      <c r="N52" s="515"/>
      <c r="O52" s="515"/>
      <c r="P52" s="515"/>
      <c r="Q52" s="515"/>
      <c r="R52" s="515"/>
      <c r="S52" s="515"/>
      <c r="T52" s="515"/>
      <c r="U52" s="515"/>
      <c r="V52" s="515"/>
      <c r="W52" s="515"/>
      <c r="X52" s="515"/>
      <c r="Y52" s="515"/>
      <c r="Z52" s="515"/>
      <c r="AA52" s="515"/>
      <c r="AB52" s="515"/>
      <c r="AC52" s="515"/>
      <c r="AD52" s="515"/>
      <c r="AE52" s="515"/>
      <c r="AF52" s="515"/>
      <c r="AG52" s="515"/>
      <c r="AH52" s="515"/>
      <c r="AI52" s="515"/>
      <c r="AJ52" s="515"/>
      <c r="AK52" s="515"/>
      <c r="AL52" s="515"/>
      <c r="AM52" s="515"/>
      <c r="AN52" s="515"/>
    </row>
    <row r="53" spans="1:43" ht="15.75" x14ac:dyDescent="0.25">
      <c r="A53" s="199"/>
      <c r="B53" s="489" t="s">
        <v>432</v>
      </c>
      <c r="C53" s="1064" t="s">
        <v>433</v>
      </c>
      <c r="D53" s="1065"/>
      <c r="E53" s="642" t="s">
        <v>434</v>
      </c>
      <c r="F53" s="643" t="s">
        <v>432</v>
      </c>
      <c r="G53" s="1064" t="s">
        <v>433</v>
      </c>
      <c r="H53" s="1065"/>
      <c r="I53" s="644" t="s">
        <v>434</v>
      </c>
      <c r="J53" s="195"/>
      <c r="K53" s="514"/>
      <c r="L53" s="514"/>
      <c r="M53" s="515"/>
      <c r="N53" s="515"/>
      <c r="O53" s="515"/>
      <c r="P53" s="515"/>
      <c r="Q53" s="515"/>
      <c r="R53" s="515"/>
      <c r="S53" s="515"/>
      <c r="T53" s="515"/>
      <c r="U53" s="515"/>
      <c r="V53" s="515"/>
      <c r="W53" s="515"/>
      <c r="X53" s="514"/>
      <c r="Y53" s="514"/>
      <c r="Z53" s="514"/>
      <c r="AA53" s="514"/>
      <c r="AB53" s="514"/>
      <c r="AC53" s="514"/>
      <c r="AD53" s="514"/>
      <c r="AE53" s="514"/>
      <c r="AF53" s="514"/>
      <c r="AG53" s="514"/>
      <c r="AH53" s="514"/>
      <c r="AI53" s="514"/>
      <c r="AJ53" s="514"/>
      <c r="AK53" s="514"/>
      <c r="AL53" s="514"/>
      <c r="AM53" s="514"/>
      <c r="AN53" s="514"/>
      <c r="AO53" s="539"/>
      <c r="AP53" s="539"/>
      <c r="AQ53" s="539"/>
    </row>
    <row r="54" spans="1:43" ht="15.75" x14ac:dyDescent="0.25">
      <c r="A54" s="199"/>
      <c r="B54" s="495" t="s">
        <v>435</v>
      </c>
      <c r="C54" s="526" t="s">
        <v>436</v>
      </c>
      <c r="D54" s="527" t="s">
        <v>437</v>
      </c>
      <c r="E54" s="528" t="s">
        <v>438</v>
      </c>
      <c r="F54" s="525" t="s">
        <v>435</v>
      </c>
      <c r="G54" s="526" t="s">
        <v>436</v>
      </c>
      <c r="H54" s="527" t="s">
        <v>437</v>
      </c>
      <c r="I54" s="645" t="s">
        <v>438</v>
      </c>
      <c r="J54" s="195"/>
      <c r="K54" s="514"/>
      <c r="L54" s="514"/>
      <c r="M54" s="515"/>
      <c r="N54" s="170"/>
      <c r="O54" s="1047"/>
      <c r="P54" s="1047"/>
      <c r="Q54" s="540"/>
      <c r="R54" s="170"/>
      <c r="S54" s="1047"/>
      <c r="T54" s="1047"/>
      <c r="U54" s="540"/>
      <c r="V54" s="515"/>
      <c r="W54" s="515"/>
      <c r="X54" s="514"/>
      <c r="Y54" s="514"/>
      <c r="Z54" s="514"/>
      <c r="AA54" s="514"/>
      <c r="AB54" s="514"/>
      <c r="AC54" s="514"/>
      <c r="AD54" s="514"/>
      <c r="AE54" s="514"/>
      <c r="AF54" s="514"/>
      <c r="AG54" s="514"/>
      <c r="AH54" s="514"/>
      <c r="AI54" s="514"/>
      <c r="AJ54" s="514"/>
      <c r="AK54" s="514"/>
      <c r="AL54" s="514"/>
      <c r="AM54" s="514"/>
      <c r="AN54" s="514"/>
      <c r="AO54" s="539"/>
      <c r="AP54" s="539"/>
      <c r="AQ54" s="539"/>
    </row>
    <row r="55" spans="1:43" ht="15.75" x14ac:dyDescent="0.25">
      <c r="A55" s="199"/>
      <c r="B55" s="303" t="s">
        <v>123</v>
      </c>
      <c r="C55" s="179">
        <f>'Total HAPs'!M17</f>
        <v>6.2134164705882349E-4</v>
      </c>
      <c r="D55" s="179">
        <f>'Total HAPs'!N17</f>
        <v>6.2134164705882349E-4</v>
      </c>
      <c r="E55" s="531"/>
      <c r="F55" s="178" t="s">
        <v>124</v>
      </c>
      <c r="G55" s="179">
        <f>'Total HAPs'!M18</f>
        <v>6.2134164705882349E-4</v>
      </c>
      <c r="H55" s="179">
        <f>'Total HAPs'!N18</f>
        <v>6.2134164705882349E-4</v>
      </c>
      <c r="I55" s="508"/>
      <c r="J55" s="195"/>
      <c r="K55" s="514"/>
      <c r="L55" s="514"/>
      <c r="M55" s="515"/>
      <c r="N55" s="512"/>
      <c r="O55" s="541"/>
      <c r="P55" s="541"/>
      <c r="Q55" s="541"/>
      <c r="R55" s="512"/>
      <c r="S55" s="541"/>
      <c r="T55" s="541"/>
      <c r="U55" s="541"/>
      <c r="V55" s="515"/>
      <c r="W55" s="515"/>
      <c r="X55" s="514"/>
      <c r="Y55" s="514"/>
      <c r="Z55" s="514"/>
      <c r="AA55" s="514"/>
      <c r="AB55" s="514"/>
      <c r="AC55" s="514"/>
      <c r="AD55" s="514"/>
      <c r="AE55" s="514"/>
      <c r="AF55" s="514"/>
      <c r="AG55" s="514"/>
      <c r="AH55" s="514"/>
      <c r="AI55" s="514"/>
      <c r="AJ55" s="514"/>
      <c r="AK55" s="514"/>
      <c r="AL55" s="514"/>
      <c r="AM55" s="514"/>
      <c r="AN55" s="514"/>
      <c r="AO55" s="539"/>
      <c r="AP55" s="539"/>
      <c r="AQ55" s="539"/>
    </row>
    <row r="56" spans="1:43" ht="15.75" x14ac:dyDescent="0.25">
      <c r="A56" s="199"/>
      <c r="B56" s="199"/>
      <c r="C56" s="195"/>
      <c r="D56" s="195"/>
      <c r="E56" s="195"/>
      <c r="F56" s="199"/>
      <c r="G56" s="195"/>
      <c r="H56" s="195"/>
      <c r="I56" s="195"/>
      <c r="J56" s="195"/>
      <c r="K56" s="514"/>
      <c r="L56" s="514"/>
      <c r="M56" s="515"/>
      <c r="N56" s="199"/>
      <c r="O56" s="195"/>
      <c r="P56" s="195"/>
      <c r="Q56" s="195"/>
      <c r="R56" s="199"/>
      <c r="S56" s="195"/>
      <c r="T56" s="195"/>
      <c r="U56" s="195"/>
      <c r="V56" s="515"/>
      <c r="W56" s="515"/>
      <c r="X56" s="514"/>
      <c r="Y56" s="514"/>
      <c r="Z56" s="514"/>
      <c r="AA56" s="514"/>
      <c r="AB56" s="514"/>
      <c r="AC56" s="514"/>
      <c r="AD56" s="514"/>
      <c r="AE56" s="514"/>
      <c r="AF56" s="514"/>
      <c r="AG56" s="514"/>
      <c r="AH56" s="514"/>
      <c r="AI56" s="514"/>
      <c r="AJ56" s="514"/>
      <c r="AK56" s="514"/>
      <c r="AL56" s="514"/>
      <c r="AM56" s="514"/>
      <c r="AN56" s="514"/>
      <c r="AO56" s="539"/>
      <c r="AP56" s="539"/>
      <c r="AQ56" s="539"/>
    </row>
    <row r="57" spans="1:43" ht="15.75" x14ac:dyDescent="0.25">
      <c r="A57" s="199"/>
      <c r="B57" s="489" t="s">
        <v>432</v>
      </c>
      <c r="C57" s="1064" t="s">
        <v>433</v>
      </c>
      <c r="D57" s="1065"/>
      <c r="E57" s="642" t="s">
        <v>434</v>
      </c>
      <c r="F57" s="643" t="s">
        <v>432</v>
      </c>
      <c r="G57" s="1064" t="s">
        <v>433</v>
      </c>
      <c r="H57" s="1065"/>
      <c r="I57" s="644" t="s">
        <v>434</v>
      </c>
      <c r="J57" s="195"/>
      <c r="K57" s="514"/>
      <c r="L57" s="514"/>
      <c r="M57" s="515"/>
      <c r="N57" s="199"/>
      <c r="O57" s="195"/>
      <c r="P57" s="195"/>
      <c r="Q57" s="195"/>
      <c r="R57" s="199"/>
      <c r="S57" s="195"/>
      <c r="T57" s="195"/>
      <c r="U57" s="195"/>
      <c r="V57" s="515"/>
      <c r="W57" s="515"/>
      <c r="X57" s="514"/>
      <c r="Y57" s="514"/>
      <c r="Z57" s="514"/>
      <c r="AA57" s="514"/>
      <c r="AB57" s="514"/>
      <c r="AC57" s="514"/>
      <c r="AD57" s="514"/>
      <c r="AE57" s="514"/>
      <c r="AF57" s="514"/>
      <c r="AG57" s="514"/>
      <c r="AH57" s="514"/>
      <c r="AI57" s="514"/>
      <c r="AJ57" s="514"/>
      <c r="AK57" s="514"/>
      <c r="AL57" s="514"/>
      <c r="AM57" s="514"/>
      <c r="AN57" s="514"/>
      <c r="AO57" s="539"/>
      <c r="AP57" s="539"/>
      <c r="AQ57" s="539"/>
    </row>
    <row r="58" spans="1:43" ht="15.75" x14ac:dyDescent="0.25">
      <c r="A58" s="199"/>
      <c r="B58" s="495" t="s">
        <v>435</v>
      </c>
      <c r="C58" s="526" t="s">
        <v>436</v>
      </c>
      <c r="D58" s="527" t="s">
        <v>437</v>
      </c>
      <c r="E58" s="528" t="s">
        <v>438</v>
      </c>
      <c r="F58" s="525" t="s">
        <v>435</v>
      </c>
      <c r="G58" s="526" t="s">
        <v>436</v>
      </c>
      <c r="H58" s="527" t="s">
        <v>437</v>
      </c>
      <c r="I58" s="645" t="s">
        <v>438</v>
      </c>
      <c r="J58" s="195"/>
      <c r="K58" s="514"/>
      <c r="L58" s="514"/>
      <c r="M58" s="515"/>
      <c r="N58" s="170"/>
      <c r="O58" s="1047"/>
      <c r="P58" s="1047"/>
      <c r="Q58" s="540"/>
      <c r="R58" s="170"/>
      <c r="S58" s="1047"/>
      <c r="T58" s="1047"/>
      <c r="U58" s="540"/>
      <c r="V58" s="515"/>
      <c r="W58" s="515"/>
      <c r="X58" s="514"/>
      <c r="Y58" s="514"/>
      <c r="Z58" s="514"/>
      <c r="AA58" s="514"/>
      <c r="AB58" s="514"/>
      <c r="AC58" s="514"/>
      <c r="AD58" s="514"/>
      <c r="AE58" s="514"/>
      <c r="AF58" s="514"/>
      <c r="AG58" s="514"/>
      <c r="AH58" s="514"/>
      <c r="AI58" s="514"/>
      <c r="AJ58" s="514"/>
      <c r="AK58" s="514"/>
      <c r="AL58" s="514"/>
      <c r="AM58" s="514"/>
      <c r="AN58" s="514"/>
      <c r="AO58" s="539"/>
      <c r="AP58" s="539"/>
      <c r="AQ58" s="539"/>
    </row>
    <row r="59" spans="1:43" ht="15.75" x14ac:dyDescent="0.25">
      <c r="A59" s="199"/>
      <c r="B59" s="303" t="s">
        <v>214</v>
      </c>
      <c r="C59" s="179">
        <f>'Total HAPs'!M19</f>
        <v>8.2845552941176479E-6</v>
      </c>
      <c r="D59" s="179">
        <f>'Total HAPs'!N19</f>
        <v>8.2845552941176479E-6</v>
      </c>
      <c r="E59" s="531"/>
      <c r="F59" s="178" t="s">
        <v>125</v>
      </c>
      <c r="G59" s="179">
        <f>'Total HAPs'!M20</f>
        <v>2.7825591383922005E-4</v>
      </c>
      <c r="H59" s="179">
        <f>'Total HAPs'!N20</f>
        <v>2.7825591383922005E-4</v>
      </c>
      <c r="I59" s="508"/>
      <c r="J59" s="195"/>
      <c r="K59" s="514"/>
      <c r="L59" s="514"/>
      <c r="M59" s="515"/>
      <c r="N59" s="512"/>
      <c r="O59" s="541"/>
      <c r="P59" s="541"/>
      <c r="Q59" s="541"/>
      <c r="R59" s="512"/>
      <c r="S59" s="541"/>
      <c r="T59" s="541"/>
      <c r="U59" s="541"/>
      <c r="V59" s="515"/>
      <c r="W59" s="515"/>
      <c r="X59" s="514"/>
      <c r="Y59" s="514"/>
      <c r="Z59" s="514"/>
      <c r="AA59" s="514"/>
      <c r="AB59" s="514"/>
      <c r="AC59" s="514"/>
      <c r="AD59" s="514"/>
      <c r="AE59" s="514"/>
      <c r="AF59" s="514"/>
      <c r="AG59" s="514"/>
      <c r="AH59" s="514"/>
      <c r="AI59" s="514"/>
      <c r="AJ59" s="514"/>
      <c r="AK59" s="514"/>
      <c r="AL59" s="514"/>
      <c r="AM59" s="514"/>
      <c r="AN59" s="514"/>
      <c r="AO59" s="539"/>
      <c r="AP59" s="539"/>
      <c r="AQ59" s="539"/>
    </row>
    <row r="60" spans="1:43" ht="15.75" x14ac:dyDescent="0.25">
      <c r="A60" s="199"/>
      <c r="B60" s="199"/>
      <c r="C60" s="195"/>
      <c r="D60" s="195"/>
      <c r="E60" s="195"/>
      <c r="F60" s="199"/>
      <c r="G60" s="195"/>
      <c r="H60" s="195"/>
      <c r="I60" s="195"/>
      <c r="J60" s="195"/>
      <c r="K60" s="514"/>
      <c r="L60" s="514"/>
      <c r="M60" s="515"/>
      <c r="N60" s="199"/>
      <c r="O60" s="195"/>
      <c r="P60" s="195"/>
      <c r="Q60" s="195"/>
      <c r="R60" s="199"/>
      <c r="S60" s="195"/>
      <c r="T60" s="195"/>
      <c r="U60" s="195"/>
      <c r="V60" s="515"/>
      <c r="W60" s="515"/>
      <c r="X60" s="514"/>
      <c r="Y60" s="514"/>
      <c r="Z60" s="514"/>
      <c r="AA60" s="514"/>
      <c r="AB60" s="514"/>
      <c r="AC60" s="514"/>
      <c r="AD60" s="514"/>
      <c r="AE60" s="514"/>
      <c r="AF60" s="514"/>
      <c r="AG60" s="514"/>
      <c r="AH60" s="514"/>
      <c r="AI60" s="514"/>
      <c r="AJ60" s="514"/>
      <c r="AK60" s="514"/>
      <c r="AL60" s="514"/>
      <c r="AM60" s="514"/>
      <c r="AN60" s="514"/>
      <c r="AO60" s="539"/>
      <c r="AP60" s="539"/>
      <c r="AQ60" s="539"/>
    </row>
    <row r="61" spans="1:43" ht="15.75" x14ac:dyDescent="0.25">
      <c r="A61" s="199"/>
      <c r="B61" s="489" t="s">
        <v>432</v>
      </c>
      <c r="C61" s="1064" t="s">
        <v>433</v>
      </c>
      <c r="D61" s="1065"/>
      <c r="E61" s="642" t="s">
        <v>434</v>
      </c>
      <c r="F61" s="643" t="s">
        <v>432</v>
      </c>
      <c r="G61" s="1064" t="s">
        <v>433</v>
      </c>
      <c r="H61" s="1065"/>
      <c r="I61" s="644" t="s">
        <v>434</v>
      </c>
      <c r="J61" s="195"/>
      <c r="K61" s="514"/>
      <c r="L61" s="514"/>
      <c r="M61" s="515"/>
      <c r="N61" s="199"/>
      <c r="O61" s="195"/>
      <c r="P61" s="195"/>
      <c r="Q61" s="195"/>
      <c r="R61" s="199"/>
      <c r="S61" s="195"/>
      <c r="T61" s="195"/>
      <c r="U61" s="195"/>
      <c r="V61" s="515"/>
      <c r="W61" s="515"/>
      <c r="X61" s="514"/>
      <c r="Y61" s="514"/>
      <c r="Z61" s="514"/>
      <c r="AA61" s="514"/>
      <c r="AB61" s="514"/>
      <c r="AC61" s="514"/>
      <c r="AD61" s="514"/>
      <c r="AE61" s="514"/>
      <c r="AF61" s="514"/>
      <c r="AG61" s="514"/>
      <c r="AH61" s="514"/>
      <c r="AI61" s="514"/>
      <c r="AJ61" s="514"/>
      <c r="AK61" s="514"/>
      <c r="AL61" s="514"/>
      <c r="AM61" s="514"/>
      <c r="AN61" s="514"/>
      <c r="AO61" s="539"/>
      <c r="AP61" s="539"/>
      <c r="AQ61" s="539"/>
    </row>
    <row r="62" spans="1:43" ht="15.75" x14ac:dyDescent="0.25">
      <c r="A62" s="199"/>
      <c r="B62" s="495" t="s">
        <v>435</v>
      </c>
      <c r="C62" s="526" t="s">
        <v>436</v>
      </c>
      <c r="D62" s="527" t="s">
        <v>437</v>
      </c>
      <c r="E62" s="528" t="s">
        <v>438</v>
      </c>
      <c r="F62" s="525" t="s">
        <v>435</v>
      </c>
      <c r="G62" s="526" t="s">
        <v>436</v>
      </c>
      <c r="H62" s="527" t="s">
        <v>437</v>
      </c>
      <c r="I62" s="645" t="s">
        <v>438</v>
      </c>
      <c r="J62" s="195"/>
      <c r="K62" s="514"/>
      <c r="L62" s="514"/>
      <c r="M62" s="515"/>
      <c r="N62" s="170"/>
      <c r="O62" s="1047"/>
      <c r="P62" s="1047"/>
      <c r="Q62" s="540"/>
      <c r="R62" s="170"/>
      <c r="S62" s="1047"/>
      <c r="T62" s="1047"/>
      <c r="U62" s="540"/>
      <c r="V62" s="515"/>
      <c r="W62" s="515"/>
      <c r="X62" s="514"/>
      <c r="Y62" s="514"/>
      <c r="Z62" s="514"/>
      <c r="AA62" s="514"/>
      <c r="AB62" s="514"/>
      <c r="AC62" s="514"/>
      <c r="AD62" s="514"/>
      <c r="AE62" s="514"/>
      <c r="AF62" s="514"/>
      <c r="AG62" s="514"/>
      <c r="AH62" s="514"/>
      <c r="AI62" s="514"/>
      <c r="AJ62" s="514"/>
      <c r="AK62" s="514"/>
      <c r="AL62" s="514"/>
      <c r="AM62" s="514"/>
      <c r="AN62" s="514"/>
      <c r="AO62" s="539"/>
      <c r="AP62" s="539"/>
      <c r="AQ62" s="539"/>
    </row>
    <row r="63" spans="1:43" ht="15.75" x14ac:dyDescent="0.25">
      <c r="A63" s="199"/>
      <c r="B63" s="303" t="s">
        <v>126</v>
      </c>
      <c r="C63" s="179">
        <f>'Total HAPs'!M21</f>
        <v>2.1175450046884043E-5</v>
      </c>
      <c r="D63" s="179">
        <f>'Total HAPs'!N21</f>
        <v>2.1175450046884043E-5</v>
      </c>
      <c r="E63" s="531"/>
      <c r="F63" s="178" t="s">
        <v>127</v>
      </c>
      <c r="G63" s="179">
        <f>'Total HAPs'!M22</f>
        <v>1.9556665642473487E-5</v>
      </c>
      <c r="H63" s="179">
        <f>'Total HAPs'!N22</f>
        <v>1.9556665642473487E-5</v>
      </c>
      <c r="I63" s="508"/>
      <c r="J63" s="195"/>
      <c r="K63" s="514"/>
      <c r="L63" s="514"/>
      <c r="M63" s="515"/>
      <c r="N63" s="512"/>
      <c r="O63" s="541"/>
      <c r="P63" s="541"/>
      <c r="Q63" s="541"/>
      <c r="R63" s="512"/>
      <c r="S63" s="541"/>
      <c r="T63" s="541"/>
      <c r="U63" s="541"/>
      <c r="V63" s="515"/>
      <c r="W63" s="515"/>
      <c r="X63" s="514"/>
      <c r="Y63" s="514"/>
      <c r="Z63" s="514"/>
      <c r="AA63" s="514"/>
      <c r="AB63" s="514"/>
      <c r="AC63" s="514"/>
      <c r="AD63" s="514"/>
      <c r="AE63" s="514"/>
      <c r="AF63" s="514"/>
      <c r="AG63" s="514"/>
      <c r="AH63" s="514"/>
      <c r="AI63" s="514"/>
      <c r="AJ63" s="514"/>
      <c r="AK63" s="514"/>
      <c r="AL63" s="514"/>
      <c r="AM63" s="514"/>
      <c r="AN63" s="514"/>
      <c r="AO63" s="539"/>
      <c r="AP63" s="539"/>
      <c r="AQ63" s="539"/>
    </row>
    <row r="64" spans="1:43" ht="15.75" x14ac:dyDescent="0.25">
      <c r="A64" s="199"/>
      <c r="B64" s="199"/>
      <c r="C64" s="195"/>
      <c r="D64" s="195"/>
      <c r="E64" s="195"/>
      <c r="F64" s="199"/>
      <c r="G64" s="195"/>
      <c r="H64" s="195"/>
      <c r="I64" s="195"/>
      <c r="J64" s="195"/>
      <c r="K64" s="514"/>
      <c r="L64" s="514"/>
      <c r="M64" s="515"/>
      <c r="N64" s="199"/>
      <c r="O64" s="195"/>
      <c r="P64" s="195"/>
      <c r="Q64" s="195"/>
      <c r="R64" s="199"/>
      <c r="S64" s="195"/>
      <c r="T64" s="195"/>
      <c r="U64" s="195"/>
      <c r="V64" s="515"/>
      <c r="W64" s="515"/>
      <c r="X64" s="514"/>
      <c r="Y64" s="514"/>
      <c r="Z64" s="514"/>
      <c r="AA64" s="514"/>
      <c r="AB64" s="514"/>
      <c r="AC64" s="514"/>
      <c r="AD64" s="514"/>
      <c r="AE64" s="514"/>
      <c r="AF64" s="514"/>
      <c r="AG64" s="514"/>
      <c r="AH64" s="514"/>
      <c r="AI64" s="514"/>
      <c r="AJ64" s="514"/>
      <c r="AK64" s="514"/>
      <c r="AL64" s="514"/>
      <c r="AM64" s="514"/>
      <c r="AN64" s="514"/>
      <c r="AO64" s="539"/>
      <c r="AP64" s="539"/>
      <c r="AQ64" s="539"/>
    </row>
    <row r="65" spans="1:43" x14ac:dyDescent="0.2">
      <c r="A65" s="538" t="s">
        <v>589</v>
      </c>
      <c r="B65" s="298" t="s">
        <v>447</v>
      </c>
    </row>
    <row r="66" spans="1:43" x14ac:dyDescent="0.2">
      <c r="A66" s="737" t="s">
        <v>590</v>
      </c>
      <c r="B66" s="298" t="s">
        <v>448</v>
      </c>
    </row>
    <row r="67" spans="1:43" x14ac:dyDescent="0.2">
      <c r="A67" s="199"/>
      <c r="B67" s="199"/>
      <c r="C67" s="195"/>
      <c r="D67" s="195"/>
      <c r="E67" s="195"/>
      <c r="F67" s="199"/>
      <c r="G67" s="195"/>
      <c r="H67" s="195"/>
      <c r="I67" s="195"/>
      <c r="J67" s="195"/>
      <c r="K67" s="514"/>
      <c r="L67" s="514"/>
      <c r="M67" s="514"/>
      <c r="N67" s="514"/>
      <c r="O67" s="514"/>
      <c r="P67" s="514"/>
      <c r="Q67" s="514"/>
      <c r="R67" s="514"/>
      <c r="S67" s="514"/>
      <c r="T67" s="514"/>
      <c r="U67" s="514"/>
      <c r="V67" s="514"/>
      <c r="W67" s="514"/>
      <c r="X67" s="514"/>
      <c r="Y67" s="514"/>
      <c r="Z67" s="514"/>
      <c r="AA67" s="514"/>
      <c r="AB67" s="514"/>
      <c r="AC67" s="514"/>
      <c r="AD67" s="514"/>
      <c r="AE67" s="514"/>
      <c r="AF67" s="514"/>
      <c r="AG67" s="514"/>
      <c r="AH67" s="514"/>
      <c r="AI67" s="514"/>
      <c r="AJ67" s="514"/>
      <c r="AK67" s="514"/>
      <c r="AL67" s="514"/>
      <c r="AM67" s="514"/>
      <c r="AN67" s="514"/>
      <c r="AO67" s="539"/>
      <c r="AP67" s="539"/>
      <c r="AQ67" s="539"/>
    </row>
    <row r="68" spans="1:43" x14ac:dyDescent="0.2">
      <c r="A68" s="298" t="s">
        <v>430</v>
      </c>
      <c r="G68" s="520" t="s">
        <v>451</v>
      </c>
    </row>
    <row r="69" spans="1:43" x14ac:dyDescent="0.2">
      <c r="A69" s="199"/>
      <c r="B69" s="542"/>
      <c r="C69" s="195"/>
      <c r="D69" s="195"/>
      <c r="E69" s="195"/>
      <c r="F69" s="199"/>
      <c r="G69" s="195"/>
      <c r="H69" s="195"/>
      <c r="I69" s="195"/>
      <c r="J69" s="195"/>
      <c r="K69" s="514"/>
      <c r="L69" s="514"/>
      <c r="M69" s="514"/>
      <c r="N69" s="514"/>
      <c r="O69" s="514"/>
      <c r="P69" s="514"/>
      <c r="Q69" s="514"/>
      <c r="R69" s="514"/>
      <c r="S69" s="514"/>
      <c r="T69" s="514"/>
      <c r="U69" s="514"/>
      <c r="V69" s="514"/>
      <c r="W69" s="514"/>
      <c r="X69" s="514"/>
      <c r="Y69" s="514"/>
      <c r="Z69" s="514"/>
      <c r="AA69" s="514"/>
      <c r="AB69" s="514"/>
      <c r="AC69" s="514"/>
      <c r="AD69" s="514"/>
      <c r="AE69" s="514"/>
      <c r="AF69" s="514"/>
      <c r="AG69" s="514"/>
      <c r="AH69" s="514"/>
      <c r="AI69" s="514"/>
      <c r="AJ69" s="514"/>
      <c r="AK69" s="514"/>
      <c r="AL69" s="514"/>
      <c r="AM69" s="514"/>
      <c r="AN69" s="514"/>
      <c r="AO69" s="539"/>
      <c r="AP69" s="539"/>
      <c r="AQ69" s="539"/>
    </row>
    <row r="70" spans="1:43" ht="15.75" x14ac:dyDescent="0.25">
      <c r="A70" s="199"/>
      <c r="B70" s="489" t="s">
        <v>432</v>
      </c>
      <c r="C70" s="1064" t="s">
        <v>433</v>
      </c>
      <c r="D70" s="1065"/>
      <c r="E70" s="642" t="s">
        <v>434</v>
      </c>
      <c r="F70" s="643" t="s">
        <v>432</v>
      </c>
      <c r="G70" s="1064" t="s">
        <v>433</v>
      </c>
      <c r="H70" s="1065"/>
      <c r="I70" s="644" t="s">
        <v>434</v>
      </c>
      <c r="J70" s="195"/>
      <c r="K70" s="514"/>
      <c r="L70" s="514"/>
      <c r="M70" s="515"/>
      <c r="N70" s="199"/>
      <c r="O70" s="195"/>
      <c r="P70" s="195"/>
      <c r="Q70" s="195"/>
      <c r="R70" s="199"/>
      <c r="S70" s="195"/>
      <c r="T70" s="195"/>
      <c r="U70" s="195"/>
      <c r="V70" s="515"/>
      <c r="W70" s="515"/>
      <c r="X70" s="514"/>
      <c r="Y70" s="514"/>
      <c r="Z70" s="514"/>
      <c r="AA70" s="514"/>
      <c r="AB70" s="514"/>
      <c r="AC70" s="514"/>
      <c r="AD70" s="514"/>
      <c r="AE70" s="514"/>
      <c r="AF70" s="514"/>
      <c r="AG70" s="514"/>
      <c r="AH70" s="514"/>
      <c r="AI70" s="514"/>
      <c r="AJ70" s="514"/>
      <c r="AK70" s="514"/>
      <c r="AL70" s="514"/>
      <c r="AM70" s="514"/>
      <c r="AN70" s="514"/>
      <c r="AO70" s="539"/>
      <c r="AP70" s="539"/>
      <c r="AQ70" s="539"/>
    </row>
    <row r="71" spans="1:43" ht="15.75" x14ac:dyDescent="0.25">
      <c r="A71" s="199"/>
      <c r="B71" s="495" t="s">
        <v>435</v>
      </c>
      <c r="C71" s="526" t="s">
        <v>436</v>
      </c>
      <c r="D71" s="527" t="s">
        <v>437</v>
      </c>
      <c r="E71" s="528" t="s">
        <v>438</v>
      </c>
      <c r="F71" s="525" t="s">
        <v>435</v>
      </c>
      <c r="G71" s="526" t="s">
        <v>436</v>
      </c>
      <c r="H71" s="527" t="s">
        <v>437</v>
      </c>
      <c r="I71" s="645" t="s">
        <v>438</v>
      </c>
      <c r="J71" s="195"/>
      <c r="K71" s="514"/>
      <c r="L71" s="514"/>
      <c r="M71" s="515"/>
      <c r="N71" s="170"/>
      <c r="O71" s="1047"/>
      <c r="P71" s="1047"/>
      <c r="Q71" s="540"/>
      <c r="R71" s="170"/>
      <c r="S71" s="1047"/>
      <c r="T71" s="1047"/>
      <c r="U71" s="540"/>
      <c r="V71" s="515"/>
      <c r="W71" s="515"/>
      <c r="X71" s="514"/>
      <c r="Y71" s="514"/>
      <c r="Z71" s="514"/>
      <c r="AA71" s="514"/>
      <c r="AB71" s="514"/>
      <c r="AC71" s="514"/>
      <c r="AD71" s="514"/>
      <c r="AE71" s="514"/>
      <c r="AF71" s="514"/>
      <c r="AG71" s="514"/>
      <c r="AH71" s="514"/>
      <c r="AI71" s="514"/>
      <c r="AJ71" s="514"/>
      <c r="AK71" s="514"/>
      <c r="AL71" s="514"/>
      <c r="AM71" s="514"/>
      <c r="AN71" s="514"/>
      <c r="AO71" s="539"/>
      <c r="AP71" s="539"/>
      <c r="AQ71" s="539"/>
    </row>
    <row r="72" spans="1:43" ht="15.75" x14ac:dyDescent="0.25">
      <c r="A72" s="199"/>
      <c r="B72" s="303" t="s">
        <v>128</v>
      </c>
      <c r="C72" s="179">
        <f>'Total HAPs'!M23</f>
        <v>0.12448579122174208</v>
      </c>
      <c r="D72" s="179">
        <f>'Total HAPs'!N23</f>
        <v>0.12448579122174208</v>
      </c>
      <c r="E72" s="531"/>
      <c r="F72" s="178" t="s">
        <v>129</v>
      </c>
      <c r="G72" s="179">
        <f>'Total HAPs'!M24</f>
        <v>0.93201247058823533</v>
      </c>
      <c r="H72" s="179">
        <f>'Total HAPs'!N24</f>
        <v>0.93201247058823533</v>
      </c>
      <c r="I72" s="508"/>
      <c r="J72" s="195"/>
      <c r="K72" s="514"/>
      <c r="L72" s="514"/>
      <c r="M72" s="515"/>
      <c r="N72" s="512"/>
      <c r="O72" s="541"/>
      <c r="P72" s="541"/>
      <c r="Q72" s="541"/>
      <c r="R72" s="512"/>
      <c r="S72" s="541"/>
      <c r="T72" s="541"/>
      <c r="U72" s="541"/>
      <c r="V72" s="515"/>
      <c r="W72" s="515"/>
      <c r="X72" s="514"/>
      <c r="Y72" s="514"/>
      <c r="Z72" s="514"/>
      <c r="AA72" s="514"/>
      <c r="AB72" s="514"/>
      <c r="AC72" s="514"/>
      <c r="AD72" s="514"/>
      <c r="AE72" s="514"/>
      <c r="AF72" s="514"/>
      <c r="AG72" s="514"/>
      <c r="AH72" s="514"/>
      <c r="AI72" s="514"/>
      <c r="AJ72" s="514"/>
      <c r="AK72" s="514"/>
      <c r="AL72" s="514"/>
      <c r="AM72" s="514"/>
      <c r="AN72" s="514"/>
      <c r="AO72" s="539"/>
      <c r="AP72" s="539"/>
      <c r="AQ72" s="539"/>
    </row>
    <row r="73" spans="1:43" ht="15.75" x14ac:dyDescent="0.25">
      <c r="A73" s="199"/>
      <c r="B73" s="199"/>
      <c r="C73" s="195"/>
      <c r="D73" s="195"/>
      <c r="E73" s="195"/>
      <c r="F73" s="199"/>
      <c r="G73" s="195"/>
      <c r="H73" s="195"/>
      <c r="I73" s="195"/>
      <c r="J73" s="195"/>
      <c r="K73" s="514"/>
      <c r="L73" s="514"/>
      <c r="M73" s="515"/>
      <c r="N73" s="199"/>
      <c r="O73" s="195"/>
      <c r="P73" s="195"/>
      <c r="Q73" s="195"/>
      <c r="R73" s="199"/>
      <c r="S73" s="195"/>
      <c r="T73" s="195"/>
      <c r="U73" s="195"/>
      <c r="V73" s="515"/>
      <c r="W73" s="515"/>
      <c r="X73" s="514"/>
      <c r="Y73" s="514"/>
      <c r="Z73" s="514"/>
      <c r="AA73" s="514"/>
      <c r="AB73" s="514"/>
      <c r="AC73" s="514"/>
      <c r="AD73" s="514"/>
      <c r="AE73" s="514"/>
      <c r="AF73" s="514"/>
      <c r="AG73" s="514"/>
      <c r="AH73" s="514"/>
      <c r="AI73" s="514"/>
      <c r="AJ73" s="514"/>
      <c r="AK73" s="514"/>
      <c r="AL73" s="514"/>
      <c r="AM73" s="514"/>
      <c r="AN73" s="514"/>
      <c r="AO73" s="539"/>
      <c r="AP73" s="539"/>
      <c r="AQ73" s="539"/>
    </row>
    <row r="74" spans="1:43" s="171" customFormat="1" ht="15.75" x14ac:dyDescent="0.25">
      <c r="A74" s="199"/>
      <c r="B74" s="489" t="s">
        <v>432</v>
      </c>
      <c r="C74" s="1064" t="s">
        <v>433</v>
      </c>
      <c r="D74" s="1065"/>
      <c r="E74" s="642" t="s">
        <v>434</v>
      </c>
      <c r="F74" s="643" t="s">
        <v>432</v>
      </c>
      <c r="G74" s="1064" t="s">
        <v>433</v>
      </c>
      <c r="H74" s="1065"/>
      <c r="I74" s="644" t="s">
        <v>434</v>
      </c>
      <c r="J74" s="195"/>
      <c r="K74" s="514"/>
      <c r="L74" s="514"/>
      <c r="M74" s="515"/>
      <c r="N74" s="199"/>
      <c r="O74" s="195"/>
      <c r="P74" s="195"/>
      <c r="Q74" s="195"/>
      <c r="R74" s="199"/>
      <c r="S74" s="195"/>
      <c r="T74" s="195"/>
      <c r="U74" s="195"/>
      <c r="V74" s="515"/>
      <c r="W74" s="515"/>
      <c r="X74" s="514"/>
      <c r="Y74" s="514"/>
      <c r="Z74" s="514"/>
      <c r="AA74" s="514"/>
      <c r="AB74" s="514"/>
      <c r="AC74" s="514"/>
      <c r="AD74" s="514"/>
      <c r="AE74" s="514"/>
      <c r="AF74" s="514"/>
      <c r="AG74" s="514"/>
      <c r="AH74" s="514"/>
      <c r="AI74" s="514"/>
      <c r="AJ74" s="514"/>
      <c r="AK74" s="514"/>
      <c r="AL74" s="514"/>
      <c r="AM74" s="514"/>
      <c r="AN74" s="514"/>
      <c r="AO74" s="539"/>
      <c r="AP74" s="539"/>
      <c r="AQ74" s="539"/>
    </row>
    <row r="75" spans="1:43" s="171" customFormat="1" ht="15.75" x14ac:dyDescent="0.25">
      <c r="A75" s="199"/>
      <c r="B75" s="495" t="s">
        <v>435</v>
      </c>
      <c r="C75" s="526" t="s">
        <v>436</v>
      </c>
      <c r="D75" s="527" t="s">
        <v>437</v>
      </c>
      <c r="E75" s="528" t="s">
        <v>438</v>
      </c>
      <c r="F75" s="525" t="s">
        <v>435</v>
      </c>
      <c r="G75" s="526" t="s">
        <v>436</v>
      </c>
      <c r="H75" s="527" t="s">
        <v>437</v>
      </c>
      <c r="I75" s="645" t="s">
        <v>438</v>
      </c>
      <c r="J75" s="195"/>
      <c r="K75" s="514"/>
      <c r="L75" s="514"/>
      <c r="M75" s="515"/>
      <c r="N75" s="170"/>
      <c r="O75" s="1047"/>
      <c r="P75" s="1047"/>
      <c r="Q75" s="540"/>
      <c r="R75" s="170"/>
      <c r="S75" s="1047"/>
      <c r="T75" s="1047"/>
      <c r="U75" s="540"/>
      <c r="V75" s="515"/>
      <c r="W75" s="515"/>
      <c r="X75" s="514"/>
      <c r="Y75" s="514"/>
      <c r="Z75" s="514"/>
      <c r="AA75" s="514"/>
      <c r="AB75" s="514"/>
      <c r="AC75" s="514"/>
      <c r="AD75" s="514"/>
      <c r="AE75" s="514"/>
      <c r="AF75" s="514"/>
      <c r="AG75" s="514"/>
      <c r="AH75" s="514"/>
      <c r="AI75" s="514"/>
      <c r="AJ75" s="514"/>
      <c r="AK75" s="514"/>
      <c r="AL75" s="514"/>
      <c r="AM75" s="514"/>
      <c r="AN75" s="514"/>
      <c r="AO75" s="539"/>
      <c r="AP75" s="539"/>
      <c r="AQ75" s="539"/>
    </row>
    <row r="76" spans="1:43" s="171" customFormat="1" ht="15.75" x14ac:dyDescent="0.25">
      <c r="A76" s="199"/>
      <c r="B76" s="303" t="s">
        <v>130</v>
      </c>
      <c r="C76" s="179">
        <f>'Total HAPs'!M25</f>
        <v>9.3626989876718691E-6</v>
      </c>
      <c r="D76" s="179">
        <f>'Total HAPs'!N25</f>
        <v>9.3626989876718691E-6</v>
      </c>
      <c r="E76" s="531"/>
      <c r="F76" s="178" t="s">
        <v>216</v>
      </c>
      <c r="G76" s="179">
        <f>'Total HAPs'!M26</f>
        <v>1.242683294117647E-5</v>
      </c>
      <c r="H76" s="179">
        <f>'Total HAPs'!N26</f>
        <v>1.242683294117647E-5</v>
      </c>
      <c r="I76" s="508"/>
      <c r="J76" s="195"/>
      <c r="K76" s="514"/>
      <c r="L76" s="514"/>
      <c r="M76" s="515"/>
      <c r="N76" s="512"/>
      <c r="O76" s="541"/>
      <c r="P76" s="541"/>
      <c r="Q76" s="541"/>
      <c r="R76" s="512"/>
      <c r="S76" s="541"/>
      <c r="T76" s="541"/>
      <c r="U76" s="541"/>
      <c r="V76" s="515"/>
      <c r="W76" s="515"/>
      <c r="X76" s="514"/>
      <c r="Y76" s="514"/>
      <c r="Z76" s="514"/>
      <c r="AA76" s="514"/>
      <c r="AB76" s="514"/>
      <c r="AC76" s="514"/>
      <c r="AD76" s="514"/>
      <c r="AE76" s="514"/>
      <c r="AF76" s="514"/>
      <c r="AG76" s="514"/>
      <c r="AH76" s="514"/>
      <c r="AI76" s="514"/>
      <c r="AJ76" s="514"/>
      <c r="AK76" s="514"/>
      <c r="AL76" s="514"/>
      <c r="AM76" s="514"/>
      <c r="AN76" s="514"/>
      <c r="AO76" s="539"/>
      <c r="AP76" s="539"/>
      <c r="AQ76" s="539"/>
    </row>
    <row r="77" spans="1:43" s="171" customFormat="1" ht="15.75" x14ac:dyDescent="0.25">
      <c r="A77" s="199"/>
      <c r="B77" s="199"/>
      <c r="C77" s="195"/>
      <c r="D77" s="195"/>
      <c r="E77" s="195"/>
      <c r="F77" s="199"/>
      <c r="G77" s="195"/>
      <c r="H77" s="195"/>
      <c r="I77" s="195"/>
      <c r="J77" s="195"/>
      <c r="K77" s="514"/>
      <c r="L77" s="514"/>
      <c r="M77" s="515"/>
      <c r="N77" s="199"/>
      <c r="O77" s="195"/>
      <c r="P77" s="195"/>
      <c r="Q77" s="195"/>
      <c r="R77" s="199"/>
      <c r="S77" s="195"/>
      <c r="T77" s="195"/>
      <c r="U77" s="195"/>
      <c r="V77" s="515"/>
      <c r="W77" s="515"/>
      <c r="X77" s="514"/>
      <c r="Y77" s="514"/>
      <c r="Z77" s="514"/>
      <c r="AA77" s="514"/>
      <c r="AB77" s="514"/>
      <c r="AC77" s="514"/>
      <c r="AD77" s="514"/>
      <c r="AE77" s="514"/>
      <c r="AF77" s="514"/>
      <c r="AG77" s="514"/>
      <c r="AH77" s="514"/>
      <c r="AI77" s="514"/>
      <c r="AJ77" s="514"/>
      <c r="AK77" s="514"/>
      <c r="AL77" s="514"/>
      <c r="AM77" s="514"/>
      <c r="AN77" s="514"/>
      <c r="AO77" s="539"/>
      <c r="AP77" s="539"/>
      <c r="AQ77" s="539"/>
    </row>
    <row r="78" spans="1:43" s="171" customFormat="1" ht="15.75" x14ac:dyDescent="0.25">
      <c r="A78" s="199"/>
      <c r="B78" s="489" t="s">
        <v>432</v>
      </c>
      <c r="C78" s="1064" t="s">
        <v>433</v>
      </c>
      <c r="D78" s="1065"/>
      <c r="E78" s="642" t="s">
        <v>434</v>
      </c>
      <c r="F78" s="643" t="s">
        <v>432</v>
      </c>
      <c r="G78" s="1064" t="s">
        <v>433</v>
      </c>
      <c r="H78" s="1065"/>
      <c r="I78" s="644" t="s">
        <v>434</v>
      </c>
      <c r="J78" s="195"/>
      <c r="K78" s="195"/>
      <c r="L78" s="195"/>
      <c r="M78" s="515"/>
      <c r="N78" s="515"/>
      <c r="O78" s="515"/>
      <c r="P78" s="515"/>
      <c r="Q78" s="515"/>
      <c r="R78" s="515"/>
      <c r="S78" s="515"/>
      <c r="T78" s="515"/>
      <c r="U78" s="515"/>
      <c r="V78" s="515"/>
      <c r="W78" s="515"/>
      <c r="X78" s="514"/>
      <c r="Y78" s="514"/>
      <c r="Z78" s="195"/>
      <c r="AA78" s="195"/>
      <c r="AB78" s="195"/>
      <c r="AC78" s="514"/>
      <c r="AD78" s="514"/>
      <c r="AE78" s="514"/>
      <c r="AF78" s="514"/>
      <c r="AG78" s="514"/>
      <c r="AH78" s="514"/>
      <c r="AI78" s="514"/>
      <c r="AJ78" s="514"/>
      <c r="AK78" s="514"/>
      <c r="AL78" s="514"/>
      <c r="AM78" s="514"/>
      <c r="AN78" s="514"/>
      <c r="AO78" s="539"/>
      <c r="AP78" s="539"/>
      <c r="AQ78" s="539"/>
    </row>
    <row r="79" spans="1:43" s="171" customFormat="1" x14ac:dyDescent="0.2">
      <c r="A79" s="199"/>
      <c r="B79" s="495" t="s">
        <v>435</v>
      </c>
      <c r="C79" s="526" t="s">
        <v>436</v>
      </c>
      <c r="D79" s="527" t="s">
        <v>437</v>
      </c>
      <c r="E79" s="528" t="s">
        <v>438</v>
      </c>
      <c r="F79" s="525" t="s">
        <v>435</v>
      </c>
      <c r="G79" s="526" t="s">
        <v>436</v>
      </c>
      <c r="H79" s="527" t="s">
        <v>437</v>
      </c>
      <c r="I79" s="645" t="s">
        <v>438</v>
      </c>
      <c r="J79" s="195"/>
      <c r="K79" s="195"/>
      <c r="L79" s="195"/>
      <c r="M79" s="195"/>
      <c r="N79" s="514"/>
      <c r="O79" s="514"/>
      <c r="P79" s="514"/>
      <c r="Q79" s="514"/>
      <c r="R79" s="514"/>
      <c r="S79" s="514"/>
      <c r="T79" s="514"/>
      <c r="U79" s="514"/>
      <c r="V79" s="514"/>
      <c r="W79" s="514"/>
      <c r="X79" s="514"/>
      <c r="Y79" s="514"/>
      <c r="Z79" s="195"/>
      <c r="AA79" s="195"/>
      <c r="AB79" s="195"/>
      <c r="AC79" s="514"/>
      <c r="AD79" s="514"/>
      <c r="AE79" s="514"/>
      <c r="AF79" s="514"/>
      <c r="AG79" s="514"/>
      <c r="AH79" s="514"/>
      <c r="AI79" s="514"/>
      <c r="AJ79" s="514"/>
      <c r="AK79" s="514"/>
      <c r="AL79" s="514"/>
      <c r="AM79" s="514"/>
      <c r="AN79" s="514"/>
      <c r="AO79" s="539"/>
      <c r="AP79" s="539"/>
      <c r="AQ79" s="539"/>
    </row>
    <row r="80" spans="1:43" s="171" customFormat="1" x14ac:dyDescent="0.2">
      <c r="A80" s="199"/>
      <c r="B80" s="303" t="s">
        <v>452</v>
      </c>
      <c r="C80" s="179">
        <f>'Total HAPs'!M27</f>
        <v>9.3201247058823532E-7</v>
      </c>
      <c r="D80" s="179">
        <f>'Total HAPs'!N27</f>
        <v>9.3201247058823532E-7</v>
      </c>
      <c r="E80" s="531"/>
      <c r="F80" s="178" t="s">
        <v>131</v>
      </c>
      <c r="G80" s="179">
        <f>'Total HAPs'!M28</f>
        <v>4.9438550729295387E-3</v>
      </c>
      <c r="H80" s="179">
        <f>'Total HAPs'!N28</f>
        <v>4.9438550729295387E-3</v>
      </c>
      <c r="I80" s="508"/>
      <c r="J80" s="195"/>
      <c r="K80" s="514"/>
      <c r="L80" s="514"/>
      <c r="M80" s="514"/>
      <c r="N80" s="514"/>
      <c r="O80" s="514"/>
      <c r="P80" s="514"/>
      <c r="Q80" s="514"/>
      <c r="R80" s="514"/>
      <c r="S80" s="514"/>
      <c r="T80" s="514"/>
      <c r="U80" s="514"/>
      <c r="V80" s="514"/>
      <c r="W80" s="514"/>
      <c r="X80" s="514"/>
      <c r="Y80" s="514"/>
      <c r="Z80" s="514"/>
      <c r="AA80" s="514"/>
      <c r="AB80" s="514"/>
      <c r="AC80" s="514"/>
      <c r="AD80" s="514"/>
      <c r="AE80" s="514"/>
      <c r="AF80" s="514"/>
      <c r="AG80" s="514"/>
      <c r="AH80" s="514"/>
      <c r="AI80" s="514"/>
      <c r="AJ80" s="514"/>
      <c r="AK80" s="514"/>
      <c r="AL80" s="514"/>
      <c r="AM80" s="514"/>
      <c r="AN80" s="514"/>
      <c r="AO80" s="539"/>
      <c r="AP80" s="539"/>
      <c r="AQ80" s="539"/>
    </row>
    <row r="81" spans="1:43" s="171" customFormat="1" x14ac:dyDescent="0.2">
      <c r="A81" s="199"/>
      <c r="B81" s="199"/>
      <c r="C81" s="195"/>
      <c r="D81" s="195"/>
      <c r="E81" s="195"/>
      <c r="F81" s="199"/>
      <c r="G81" s="195"/>
      <c r="H81" s="195"/>
      <c r="I81" s="195"/>
      <c r="J81" s="195"/>
      <c r="K81" s="514"/>
      <c r="L81" s="514"/>
      <c r="M81" s="514"/>
      <c r="N81" s="514"/>
      <c r="O81" s="514"/>
      <c r="P81" s="514"/>
      <c r="Q81" s="514"/>
      <c r="R81" s="514"/>
      <c r="S81" s="514"/>
      <c r="T81" s="514"/>
      <c r="U81" s="514"/>
      <c r="V81" s="514"/>
      <c r="W81" s="514"/>
      <c r="X81" s="514"/>
      <c r="Y81" s="514"/>
      <c r="Z81" s="514"/>
      <c r="AA81" s="514"/>
      <c r="AB81" s="514"/>
      <c r="AC81" s="514"/>
      <c r="AD81" s="514"/>
      <c r="AE81" s="514"/>
      <c r="AF81" s="514"/>
      <c r="AG81" s="514"/>
      <c r="AH81" s="514"/>
      <c r="AI81" s="514"/>
      <c r="AJ81" s="514"/>
      <c r="AK81" s="514"/>
      <c r="AL81" s="514"/>
      <c r="AM81" s="514"/>
      <c r="AN81" s="514"/>
      <c r="AO81" s="539"/>
      <c r="AP81" s="539"/>
      <c r="AQ81" s="539"/>
    </row>
    <row r="82" spans="1:43" s="171" customFormat="1" x14ac:dyDescent="0.2">
      <c r="A82" s="199"/>
      <c r="B82" s="489" t="s">
        <v>432</v>
      </c>
      <c r="C82" s="1064" t="s">
        <v>433</v>
      </c>
      <c r="D82" s="1065"/>
      <c r="E82" s="642" t="s">
        <v>434</v>
      </c>
      <c r="F82" s="643" t="s">
        <v>432</v>
      </c>
      <c r="G82" s="1064" t="s">
        <v>433</v>
      </c>
      <c r="H82" s="1065"/>
      <c r="I82" s="644" t="s">
        <v>434</v>
      </c>
      <c r="J82" s="195"/>
      <c r="K82" s="514"/>
      <c r="L82" s="514"/>
      <c r="M82" s="514"/>
      <c r="N82" s="514"/>
      <c r="O82" s="514"/>
      <c r="P82" s="514"/>
      <c r="Q82" s="514"/>
      <c r="R82" s="514"/>
      <c r="S82" s="514"/>
      <c r="T82" s="514"/>
      <c r="U82" s="514"/>
      <c r="V82" s="514"/>
      <c r="W82" s="514"/>
      <c r="X82" s="514"/>
      <c r="Y82" s="514"/>
      <c r="Z82" s="514"/>
      <c r="AA82" s="514"/>
      <c r="AB82" s="514"/>
      <c r="AC82" s="514"/>
      <c r="AD82" s="514"/>
      <c r="AE82" s="514"/>
      <c r="AF82" s="514"/>
      <c r="AG82" s="514"/>
      <c r="AH82" s="514"/>
      <c r="AI82" s="514"/>
      <c r="AJ82" s="514"/>
      <c r="AK82" s="514"/>
      <c r="AL82" s="514"/>
      <c r="AM82" s="514"/>
      <c r="AN82" s="514"/>
      <c r="AO82" s="539"/>
      <c r="AP82" s="539"/>
      <c r="AQ82" s="539"/>
    </row>
    <row r="83" spans="1:43" s="171" customFormat="1" x14ac:dyDescent="0.2">
      <c r="A83" s="199"/>
      <c r="B83" s="495" t="s">
        <v>435</v>
      </c>
      <c r="C83" s="526" t="s">
        <v>436</v>
      </c>
      <c r="D83" s="527" t="s">
        <v>437</v>
      </c>
      <c r="E83" s="528" t="s">
        <v>438</v>
      </c>
      <c r="F83" s="525" t="s">
        <v>435</v>
      </c>
      <c r="G83" s="526" t="s">
        <v>436</v>
      </c>
      <c r="H83" s="527" t="s">
        <v>437</v>
      </c>
      <c r="I83" s="645" t="s">
        <v>438</v>
      </c>
      <c r="J83" s="195"/>
      <c r="K83" s="514"/>
      <c r="L83" s="514"/>
      <c r="M83" s="514"/>
      <c r="N83" s="514"/>
      <c r="O83" s="514"/>
      <c r="P83" s="514"/>
      <c r="Q83" s="514"/>
      <c r="R83" s="514"/>
      <c r="S83" s="514"/>
      <c r="T83" s="514"/>
      <c r="U83" s="514"/>
      <c r="V83" s="514"/>
      <c r="W83" s="514"/>
      <c r="X83" s="514"/>
      <c r="Y83" s="514"/>
      <c r="Z83" s="514"/>
      <c r="AA83" s="514"/>
      <c r="AB83" s="514"/>
      <c r="AC83" s="514"/>
      <c r="AD83" s="514"/>
      <c r="AE83" s="514"/>
      <c r="AF83" s="514"/>
      <c r="AG83" s="514"/>
      <c r="AH83" s="514"/>
      <c r="AI83" s="514"/>
      <c r="AJ83" s="514"/>
      <c r="AK83" s="514"/>
      <c r="AL83" s="514"/>
      <c r="AM83" s="514"/>
      <c r="AN83" s="514"/>
      <c r="AO83" s="539"/>
      <c r="AP83" s="539"/>
      <c r="AQ83" s="539"/>
    </row>
    <row r="84" spans="1:43" s="171" customFormat="1" x14ac:dyDescent="0.2">
      <c r="A84" s="199"/>
      <c r="B84" s="303" t="s">
        <v>132</v>
      </c>
      <c r="C84" s="179">
        <f>'Total HAPs'!M29</f>
        <v>4.5938476341380666E-5</v>
      </c>
      <c r="D84" s="179">
        <f>'Total HAPs'!N29</f>
        <v>4.5938476341380666E-5</v>
      </c>
      <c r="E84" s="531"/>
      <c r="F84" s="178" t="s">
        <v>133</v>
      </c>
      <c r="G84" s="179">
        <f>'Total HAPs'!M31</f>
        <v>1.8594145185796936E-5</v>
      </c>
      <c r="H84" s="179">
        <f>'Total HAPs'!N31</f>
        <v>1.8594145185796936E-5</v>
      </c>
      <c r="I84" s="508"/>
      <c r="J84" s="195"/>
      <c r="K84" s="514"/>
      <c r="L84" s="514"/>
      <c r="M84" s="514"/>
      <c r="N84" s="514"/>
      <c r="O84" s="514"/>
      <c r="P84" s="514"/>
      <c r="Q84" s="514"/>
      <c r="R84" s="514"/>
      <c r="S84" s="514"/>
      <c r="T84" s="514"/>
      <c r="U84" s="514"/>
      <c r="V84" s="514"/>
      <c r="W84" s="514"/>
      <c r="X84" s="514"/>
      <c r="Y84" s="514"/>
      <c r="Z84" s="514"/>
      <c r="AA84" s="514"/>
      <c r="AB84" s="514"/>
      <c r="AC84" s="514"/>
      <c r="AD84" s="514"/>
      <c r="AE84" s="514"/>
      <c r="AF84" s="514"/>
      <c r="AG84" s="514"/>
      <c r="AH84" s="514"/>
      <c r="AI84" s="514"/>
      <c r="AJ84" s="514"/>
      <c r="AK84" s="514"/>
      <c r="AL84" s="514"/>
      <c r="AM84" s="514"/>
      <c r="AN84" s="514"/>
      <c r="AO84" s="539"/>
      <c r="AP84" s="539"/>
      <c r="AQ84" s="539"/>
    </row>
    <row r="85" spans="1:43" s="171" customFormat="1" x14ac:dyDescent="0.2">
      <c r="A85" s="199"/>
      <c r="B85" s="199"/>
      <c r="C85" s="195"/>
      <c r="D85" s="195"/>
      <c r="E85" s="195"/>
      <c r="F85" s="195"/>
      <c r="G85" s="195"/>
      <c r="H85" s="195"/>
      <c r="I85" s="195"/>
      <c r="J85" s="195"/>
      <c r="K85" s="514"/>
      <c r="L85" s="514"/>
      <c r="M85" s="514"/>
      <c r="N85" s="514"/>
      <c r="O85" s="514"/>
      <c r="P85" s="514"/>
      <c r="Q85" s="514"/>
      <c r="R85" s="514"/>
      <c r="S85" s="514"/>
      <c r="T85" s="514"/>
      <c r="U85" s="514"/>
      <c r="V85" s="514"/>
      <c r="W85" s="514"/>
      <c r="X85" s="514"/>
      <c r="Y85" s="514"/>
      <c r="Z85" s="514"/>
      <c r="AA85" s="514"/>
      <c r="AB85" s="514"/>
      <c r="AC85" s="514"/>
      <c r="AD85" s="514"/>
      <c r="AE85" s="514"/>
      <c r="AF85" s="514"/>
      <c r="AG85" s="514"/>
      <c r="AH85" s="514"/>
      <c r="AI85" s="514"/>
      <c r="AJ85" s="514"/>
      <c r="AK85" s="514"/>
      <c r="AL85" s="514"/>
      <c r="AM85" s="514"/>
      <c r="AN85" s="514"/>
      <c r="AO85" s="539"/>
      <c r="AP85" s="539"/>
      <c r="AQ85" s="539"/>
    </row>
    <row r="86" spans="1:43" x14ac:dyDescent="0.2">
      <c r="A86" s="199"/>
      <c r="B86" s="489" t="s">
        <v>432</v>
      </c>
      <c r="C86" s="1064" t="s">
        <v>433</v>
      </c>
      <c r="D86" s="1065"/>
      <c r="E86" s="642" t="s">
        <v>434</v>
      </c>
      <c r="F86" s="643" t="s">
        <v>432</v>
      </c>
      <c r="G86" s="1064" t="s">
        <v>433</v>
      </c>
      <c r="H86" s="1065"/>
      <c r="I86" s="644" t="s">
        <v>434</v>
      </c>
      <c r="J86" s="195"/>
      <c r="K86" s="514"/>
      <c r="L86" s="514"/>
      <c r="M86" s="514"/>
      <c r="N86" s="514"/>
      <c r="O86" s="514"/>
      <c r="P86" s="514"/>
      <c r="Q86" s="514"/>
      <c r="R86" s="514"/>
      <c r="S86" s="514"/>
      <c r="T86" s="514"/>
      <c r="U86" s="514"/>
      <c r="V86" s="514"/>
      <c r="W86" s="514"/>
      <c r="X86" s="514"/>
      <c r="Y86" s="514"/>
      <c r="Z86" s="514"/>
      <c r="AA86" s="514"/>
      <c r="AB86" s="514"/>
      <c r="AC86" s="514"/>
      <c r="AD86" s="514"/>
      <c r="AE86" s="514"/>
      <c r="AF86" s="514"/>
      <c r="AG86" s="514"/>
      <c r="AH86" s="514"/>
      <c r="AI86" s="514"/>
      <c r="AJ86" s="514"/>
      <c r="AK86" s="514"/>
      <c r="AL86" s="514"/>
      <c r="AM86" s="514"/>
      <c r="AN86" s="514"/>
      <c r="AO86" s="539"/>
      <c r="AP86" s="539"/>
      <c r="AQ86" s="539"/>
    </row>
    <row r="87" spans="1:43" x14ac:dyDescent="0.2">
      <c r="A87" s="199"/>
      <c r="B87" s="495" t="s">
        <v>435</v>
      </c>
      <c r="C87" s="526" t="s">
        <v>436</v>
      </c>
      <c r="D87" s="527" t="s">
        <v>437</v>
      </c>
      <c r="E87" s="528" t="s">
        <v>438</v>
      </c>
      <c r="F87" s="525" t="s">
        <v>435</v>
      </c>
      <c r="G87" s="526" t="s">
        <v>436</v>
      </c>
      <c r="H87" s="527" t="s">
        <v>437</v>
      </c>
      <c r="I87" s="645" t="s">
        <v>438</v>
      </c>
      <c r="J87" s="195"/>
      <c r="K87" s="514"/>
      <c r="L87" s="514"/>
      <c r="M87" s="514"/>
      <c r="N87" s="514"/>
      <c r="O87" s="514"/>
      <c r="P87" s="514"/>
      <c r="Q87" s="514"/>
      <c r="R87" s="514"/>
      <c r="S87" s="514"/>
      <c r="T87" s="514"/>
      <c r="U87" s="514"/>
      <c r="V87" s="514"/>
      <c r="W87" s="514"/>
      <c r="X87" s="514"/>
      <c r="Y87" s="514"/>
      <c r="Z87" s="514"/>
      <c r="AA87" s="514"/>
      <c r="AB87" s="514"/>
      <c r="AC87" s="514"/>
      <c r="AD87" s="514"/>
      <c r="AE87" s="514"/>
      <c r="AF87" s="514"/>
      <c r="AG87" s="514"/>
      <c r="AH87" s="514"/>
      <c r="AI87" s="514"/>
      <c r="AJ87" s="514"/>
      <c r="AK87" s="514"/>
      <c r="AL87" s="514"/>
      <c r="AM87" s="514"/>
      <c r="AN87" s="514"/>
      <c r="AO87" s="539"/>
      <c r="AP87" s="539"/>
      <c r="AQ87" s="539"/>
    </row>
    <row r="88" spans="1:43" x14ac:dyDescent="0.2">
      <c r="A88" s="199"/>
      <c r="B88" s="303" t="s">
        <v>134</v>
      </c>
      <c r="C88" s="179">
        <f>'Total HAPs'!M32</f>
        <v>2.7125576506339063E-2</v>
      </c>
      <c r="D88" s="179">
        <f>'Total HAPs'!N32</f>
        <v>2.7125576506339063E-2</v>
      </c>
      <c r="E88" s="531"/>
      <c r="F88" s="178" t="s">
        <v>240</v>
      </c>
      <c r="G88" s="179">
        <f>'Total HAPs'!M33</f>
        <v>1.0325219444348415E-3</v>
      </c>
      <c r="H88" s="179">
        <f>'Total HAPs'!N33</f>
        <v>1.0325219444348415E-3</v>
      </c>
      <c r="I88" s="508"/>
      <c r="J88" s="195"/>
      <c r="K88" s="514"/>
      <c r="L88" s="514"/>
      <c r="M88" s="514"/>
      <c r="N88" s="514"/>
      <c r="O88" s="514"/>
      <c r="P88" s="514"/>
      <c r="Q88" s="514"/>
      <c r="R88" s="514"/>
      <c r="S88" s="514"/>
      <c r="T88" s="514"/>
      <c r="U88" s="514"/>
      <c r="V88" s="514"/>
      <c r="W88" s="514"/>
      <c r="X88" s="514"/>
      <c r="Y88" s="514"/>
      <c r="Z88" s="514"/>
      <c r="AA88" s="514"/>
      <c r="AB88" s="514"/>
      <c r="AC88" s="514"/>
      <c r="AD88" s="514"/>
      <c r="AE88" s="514"/>
      <c r="AF88" s="514"/>
      <c r="AG88" s="514"/>
      <c r="AH88" s="514"/>
      <c r="AI88" s="514"/>
      <c r="AJ88" s="514"/>
      <c r="AK88" s="514"/>
      <c r="AL88" s="514"/>
      <c r="AM88" s="514"/>
      <c r="AN88" s="514"/>
      <c r="AO88" s="539"/>
      <c r="AP88" s="539"/>
      <c r="AQ88" s="539"/>
    </row>
    <row r="89" spans="1:43" x14ac:dyDescent="0.2">
      <c r="A89" s="199"/>
      <c r="B89" s="199"/>
      <c r="C89" s="195"/>
      <c r="D89" s="195"/>
      <c r="E89" s="195"/>
      <c r="F89" s="199"/>
      <c r="G89" s="195"/>
      <c r="H89" s="195"/>
      <c r="I89" s="195"/>
      <c r="J89" s="195"/>
      <c r="K89" s="514"/>
      <c r="L89" s="514"/>
      <c r="M89" s="514"/>
      <c r="N89" s="514"/>
      <c r="O89" s="514"/>
      <c r="P89" s="514"/>
      <c r="Q89" s="514"/>
      <c r="R89" s="514"/>
      <c r="S89" s="514"/>
      <c r="T89" s="514"/>
      <c r="U89" s="514"/>
      <c r="V89" s="514"/>
      <c r="W89" s="514"/>
      <c r="X89" s="514"/>
      <c r="Y89" s="514"/>
      <c r="Z89" s="514"/>
      <c r="AA89" s="514"/>
      <c r="AB89" s="514"/>
      <c r="AC89" s="514"/>
      <c r="AD89" s="514"/>
      <c r="AE89" s="514"/>
      <c r="AF89" s="514"/>
      <c r="AG89" s="514"/>
      <c r="AH89" s="514"/>
      <c r="AI89" s="514"/>
      <c r="AJ89" s="514"/>
      <c r="AK89" s="514"/>
      <c r="AL89" s="514"/>
      <c r="AM89" s="514"/>
      <c r="AN89" s="514"/>
      <c r="AO89" s="539"/>
      <c r="AP89" s="539"/>
      <c r="AQ89" s="539"/>
    </row>
    <row r="90" spans="1:43" x14ac:dyDescent="0.2">
      <c r="A90" s="199"/>
      <c r="B90" s="489" t="s">
        <v>432</v>
      </c>
      <c r="C90" s="1064" t="s">
        <v>433</v>
      </c>
      <c r="D90" s="1065"/>
      <c r="E90" s="642" t="s">
        <v>434</v>
      </c>
      <c r="F90" s="643" t="s">
        <v>432</v>
      </c>
      <c r="G90" s="1064" t="s">
        <v>433</v>
      </c>
      <c r="H90" s="1065"/>
      <c r="I90" s="644" t="s">
        <v>434</v>
      </c>
      <c r="J90" s="195"/>
      <c r="K90" s="514"/>
      <c r="L90" s="514"/>
      <c r="M90" s="514"/>
      <c r="N90" s="514"/>
      <c r="O90" s="514"/>
      <c r="P90" s="514"/>
      <c r="Q90" s="514"/>
      <c r="R90" s="514"/>
      <c r="S90" s="514"/>
      <c r="T90" s="514"/>
      <c r="U90" s="514"/>
      <c r="V90" s="514"/>
      <c r="W90" s="514"/>
      <c r="X90" s="514"/>
      <c r="Y90" s="514"/>
      <c r="Z90" s="514"/>
      <c r="AA90" s="514"/>
      <c r="AB90" s="514"/>
      <c r="AC90" s="514"/>
      <c r="AD90" s="514"/>
      <c r="AE90" s="514"/>
      <c r="AF90" s="514"/>
      <c r="AG90" s="514"/>
      <c r="AH90" s="514"/>
      <c r="AI90" s="514"/>
      <c r="AJ90" s="514"/>
      <c r="AK90" s="514"/>
      <c r="AL90" s="514"/>
      <c r="AM90" s="514"/>
      <c r="AN90" s="514"/>
      <c r="AO90" s="539"/>
      <c r="AP90" s="539"/>
      <c r="AQ90" s="539"/>
    </row>
    <row r="91" spans="1:43" x14ac:dyDescent="0.2">
      <c r="A91" s="199"/>
      <c r="B91" s="495" t="s">
        <v>435</v>
      </c>
      <c r="C91" s="526" t="s">
        <v>436</v>
      </c>
      <c r="D91" s="527" t="s">
        <v>437</v>
      </c>
      <c r="E91" s="528" t="s">
        <v>438</v>
      </c>
      <c r="F91" s="525" t="s">
        <v>435</v>
      </c>
      <c r="G91" s="526" t="s">
        <v>436</v>
      </c>
      <c r="H91" s="527" t="s">
        <v>437</v>
      </c>
      <c r="I91" s="645" t="s">
        <v>438</v>
      </c>
      <c r="J91" s="195"/>
      <c r="K91" s="514"/>
      <c r="L91" s="514"/>
      <c r="M91" s="514"/>
      <c r="N91" s="514"/>
      <c r="O91" s="514"/>
      <c r="P91" s="514"/>
      <c r="Q91" s="514"/>
      <c r="R91" s="514"/>
      <c r="S91" s="514"/>
      <c r="T91" s="514"/>
      <c r="U91" s="514"/>
      <c r="V91" s="514"/>
      <c r="W91" s="514"/>
      <c r="X91" s="514"/>
      <c r="Y91" s="514"/>
      <c r="Z91" s="514"/>
      <c r="AA91" s="514"/>
      <c r="AB91" s="514"/>
      <c r="AC91" s="514"/>
      <c r="AD91" s="514"/>
      <c r="AE91" s="514"/>
      <c r="AF91" s="514"/>
      <c r="AG91" s="514"/>
      <c r="AH91" s="514"/>
      <c r="AI91" s="514"/>
      <c r="AJ91" s="514"/>
      <c r="AK91" s="514"/>
      <c r="AL91" s="514"/>
      <c r="AM91" s="514"/>
      <c r="AN91" s="514"/>
      <c r="AO91" s="539"/>
      <c r="AP91" s="539"/>
      <c r="AQ91" s="539"/>
    </row>
    <row r="92" spans="1:43" x14ac:dyDescent="0.2">
      <c r="A92" s="199"/>
      <c r="B92" s="303" t="s">
        <v>135</v>
      </c>
      <c r="C92" s="179">
        <f>'Total HAPs'!M34</f>
        <v>4.7688513535338033E-4</v>
      </c>
      <c r="D92" s="179">
        <f>'Total HAPs'!N34</f>
        <v>4.7688513535338033E-4</v>
      </c>
      <c r="E92" s="531"/>
      <c r="F92" s="178" t="s">
        <v>454</v>
      </c>
      <c r="G92" s="179">
        <f>'Total HAPs'!M36</f>
        <v>1.0355694117647059E-4</v>
      </c>
      <c r="H92" s="179">
        <f>'Total HAPs'!N36</f>
        <v>1.0355694117647059E-4</v>
      </c>
      <c r="I92" s="508"/>
      <c r="J92" s="195"/>
      <c r="K92" s="514"/>
      <c r="L92" s="514"/>
      <c r="M92" s="514"/>
      <c r="N92" s="514"/>
      <c r="O92" s="514"/>
      <c r="P92" s="514"/>
      <c r="Q92" s="514"/>
      <c r="R92" s="514"/>
      <c r="S92" s="514"/>
      <c r="T92" s="514"/>
      <c r="U92" s="514"/>
      <c r="V92" s="514"/>
      <c r="W92" s="514"/>
      <c r="X92" s="514"/>
      <c r="Y92" s="514"/>
      <c r="Z92" s="514"/>
      <c r="AA92" s="514"/>
      <c r="AB92" s="514"/>
      <c r="AC92" s="514"/>
      <c r="AD92" s="514"/>
      <c r="AE92" s="514"/>
      <c r="AF92" s="514"/>
      <c r="AG92" s="514"/>
      <c r="AH92" s="514"/>
      <c r="AI92" s="514"/>
      <c r="AJ92" s="514"/>
      <c r="AK92" s="514"/>
      <c r="AL92" s="514"/>
      <c r="AM92" s="514"/>
      <c r="AN92" s="514"/>
      <c r="AO92" s="539"/>
      <c r="AP92" s="539"/>
      <c r="AQ92" s="539"/>
    </row>
    <row r="93" spans="1:43" x14ac:dyDescent="0.2">
      <c r="A93" s="199"/>
      <c r="B93" s="199"/>
      <c r="C93" s="195"/>
      <c r="D93" s="195"/>
      <c r="E93" s="195"/>
      <c r="F93" s="199"/>
      <c r="G93" s="195"/>
      <c r="H93" s="195"/>
      <c r="I93" s="195"/>
      <c r="J93" s="195"/>
      <c r="K93" s="514"/>
      <c r="L93" s="514"/>
      <c r="M93" s="514"/>
      <c r="N93" s="514"/>
      <c r="O93" s="514"/>
      <c r="P93" s="514"/>
      <c r="Q93" s="514"/>
      <c r="R93" s="514"/>
      <c r="S93" s="514"/>
      <c r="T93" s="514"/>
      <c r="U93" s="514"/>
      <c r="V93" s="514"/>
      <c r="W93" s="514"/>
      <c r="X93" s="514"/>
      <c r="Y93" s="514"/>
      <c r="Z93" s="514"/>
      <c r="AA93" s="514"/>
      <c r="AB93" s="514"/>
      <c r="AC93" s="514"/>
      <c r="AD93" s="514"/>
      <c r="AE93" s="514"/>
      <c r="AF93" s="514"/>
      <c r="AG93" s="514"/>
      <c r="AH93" s="514"/>
      <c r="AI93" s="514"/>
      <c r="AJ93" s="514"/>
      <c r="AK93" s="514"/>
      <c r="AL93" s="514"/>
      <c r="AM93" s="514"/>
      <c r="AN93" s="514"/>
      <c r="AO93" s="539"/>
      <c r="AP93" s="539"/>
      <c r="AQ93" s="539"/>
    </row>
    <row r="94" spans="1:43" x14ac:dyDescent="0.2">
      <c r="A94" s="199"/>
      <c r="B94" s="489" t="s">
        <v>432</v>
      </c>
      <c r="C94" s="1064" t="s">
        <v>433</v>
      </c>
      <c r="D94" s="1065"/>
      <c r="E94" s="642" t="s">
        <v>434</v>
      </c>
      <c r="F94" s="643" t="s">
        <v>432</v>
      </c>
      <c r="G94" s="1064" t="s">
        <v>433</v>
      </c>
      <c r="H94" s="1065"/>
      <c r="I94" s="644" t="s">
        <v>434</v>
      </c>
      <c r="J94" s="195"/>
      <c r="K94" s="514"/>
      <c r="L94" s="514"/>
      <c r="M94" s="514"/>
      <c r="N94" s="514"/>
      <c r="O94" s="514"/>
      <c r="P94" s="514"/>
      <c r="Q94" s="514"/>
      <c r="R94" s="514"/>
      <c r="S94" s="514"/>
      <c r="T94" s="514"/>
      <c r="U94" s="514"/>
      <c r="V94" s="514"/>
      <c r="W94" s="514"/>
      <c r="X94" s="514"/>
      <c r="Y94" s="514"/>
      <c r="Z94" s="514"/>
      <c r="AA94" s="514"/>
      <c r="AB94" s="514"/>
      <c r="AC94" s="514"/>
      <c r="AD94" s="514"/>
      <c r="AE94" s="514"/>
      <c r="AF94" s="514"/>
      <c r="AG94" s="514"/>
      <c r="AH94" s="514"/>
      <c r="AI94" s="514"/>
      <c r="AJ94" s="514"/>
      <c r="AK94" s="514"/>
      <c r="AL94" s="514"/>
      <c r="AM94" s="514"/>
      <c r="AN94" s="514"/>
      <c r="AO94" s="539"/>
      <c r="AP94" s="539"/>
      <c r="AQ94" s="539"/>
    </row>
    <row r="95" spans="1:43" x14ac:dyDescent="0.2">
      <c r="A95" s="199"/>
      <c r="B95" s="495" t="s">
        <v>435</v>
      </c>
      <c r="C95" s="526" t="s">
        <v>436</v>
      </c>
      <c r="D95" s="527" t="s">
        <v>437</v>
      </c>
      <c r="E95" s="528" t="s">
        <v>438</v>
      </c>
      <c r="F95" s="525" t="s">
        <v>435</v>
      </c>
      <c r="G95" s="526" t="s">
        <v>436</v>
      </c>
      <c r="H95" s="527" t="s">
        <v>437</v>
      </c>
      <c r="I95" s="645" t="s">
        <v>438</v>
      </c>
      <c r="J95" s="195"/>
      <c r="K95" s="514"/>
      <c r="L95" s="514"/>
      <c r="M95" s="514"/>
      <c r="N95" s="514"/>
      <c r="O95" s="514"/>
      <c r="P95" s="514"/>
      <c r="Q95" s="514"/>
      <c r="R95" s="514"/>
      <c r="S95" s="514"/>
      <c r="T95" s="514"/>
      <c r="U95" s="514"/>
      <c r="V95" s="514"/>
      <c r="W95" s="514"/>
      <c r="X95" s="514"/>
      <c r="Y95" s="514"/>
      <c r="Z95" s="514"/>
      <c r="AA95" s="514"/>
      <c r="AB95" s="514"/>
      <c r="AC95" s="514"/>
      <c r="AD95" s="514"/>
      <c r="AE95" s="514"/>
      <c r="AF95" s="514"/>
      <c r="AG95" s="514"/>
      <c r="AH95" s="514"/>
      <c r="AI95" s="514"/>
      <c r="AJ95" s="514"/>
      <c r="AK95" s="514"/>
      <c r="AL95" s="514"/>
      <c r="AM95" s="514"/>
      <c r="AN95" s="514"/>
      <c r="AO95" s="539"/>
      <c r="AP95" s="539"/>
      <c r="AQ95" s="539"/>
    </row>
    <row r="96" spans="1:43" x14ac:dyDescent="0.2">
      <c r="A96" s="199"/>
      <c r="B96" s="303" t="s">
        <v>138</v>
      </c>
      <c r="C96" s="179">
        <f>'Total HAPs'!M37</f>
        <v>6.2134164705882351E-6</v>
      </c>
      <c r="D96" s="179">
        <f>'Total HAPs'!N37</f>
        <v>6.2134164705882351E-6</v>
      </c>
      <c r="E96" s="531"/>
      <c r="F96" s="178" t="s">
        <v>139</v>
      </c>
      <c r="G96" s="179">
        <f>'Total HAPs'!M38</f>
        <v>5.6956317647058829E-4</v>
      </c>
      <c r="H96" s="179">
        <f>'Total HAPs'!N38</f>
        <v>5.6956317647058829E-4</v>
      </c>
      <c r="I96" s="508"/>
      <c r="J96" s="195"/>
      <c r="K96" s="514"/>
      <c r="L96" s="514"/>
      <c r="M96" s="514"/>
      <c r="N96" s="514"/>
      <c r="O96" s="514"/>
      <c r="P96" s="514"/>
      <c r="Q96" s="514"/>
      <c r="R96" s="514"/>
      <c r="S96" s="514"/>
      <c r="T96" s="514"/>
      <c r="U96" s="514"/>
      <c r="V96" s="514"/>
      <c r="W96" s="514"/>
      <c r="X96" s="514"/>
      <c r="Y96" s="514"/>
      <c r="Z96" s="514"/>
      <c r="AA96" s="514"/>
      <c r="AB96" s="514"/>
      <c r="AC96" s="514"/>
      <c r="AD96" s="514"/>
      <c r="AE96" s="514"/>
      <c r="AF96" s="514"/>
      <c r="AG96" s="514"/>
      <c r="AH96" s="514"/>
      <c r="AI96" s="514"/>
      <c r="AJ96" s="514"/>
      <c r="AK96" s="514"/>
      <c r="AL96" s="514"/>
      <c r="AM96" s="514"/>
      <c r="AN96" s="514"/>
      <c r="AO96" s="539"/>
      <c r="AP96" s="539"/>
      <c r="AQ96" s="539"/>
    </row>
    <row r="97" spans="1:43" x14ac:dyDescent="0.2">
      <c r="A97" s="199"/>
      <c r="B97" s="199"/>
      <c r="C97" s="195"/>
      <c r="D97" s="195"/>
      <c r="E97" s="195"/>
      <c r="F97" s="199"/>
      <c r="G97" s="195"/>
      <c r="H97" s="195"/>
      <c r="I97" s="195"/>
      <c r="J97" s="195"/>
      <c r="K97" s="514"/>
      <c r="L97" s="514"/>
      <c r="M97" s="514"/>
      <c r="N97" s="514"/>
      <c r="O97" s="514"/>
      <c r="P97" s="514"/>
      <c r="Q97" s="514"/>
      <c r="R97" s="514"/>
      <c r="S97" s="514"/>
      <c r="T97" s="514"/>
      <c r="U97" s="514"/>
      <c r="V97" s="514"/>
      <c r="W97" s="514"/>
      <c r="X97" s="514"/>
      <c r="Y97" s="514"/>
      <c r="Z97" s="514"/>
      <c r="AA97" s="514"/>
      <c r="AB97" s="514"/>
      <c r="AC97" s="514"/>
      <c r="AD97" s="514"/>
      <c r="AE97" s="514"/>
      <c r="AF97" s="514"/>
      <c r="AG97" s="514"/>
      <c r="AH97" s="514"/>
      <c r="AI97" s="514"/>
      <c r="AJ97" s="514"/>
      <c r="AK97" s="514"/>
      <c r="AL97" s="514"/>
      <c r="AM97" s="514"/>
      <c r="AN97" s="514"/>
      <c r="AO97" s="539"/>
      <c r="AP97" s="539"/>
      <c r="AQ97" s="539"/>
    </row>
    <row r="98" spans="1:43" x14ac:dyDescent="0.2">
      <c r="A98" s="538" t="s">
        <v>589</v>
      </c>
      <c r="B98" s="298" t="s">
        <v>447</v>
      </c>
    </row>
    <row r="99" spans="1:43" x14ac:dyDescent="0.2">
      <c r="A99" s="737" t="s">
        <v>590</v>
      </c>
      <c r="B99" s="298" t="s">
        <v>448</v>
      </c>
    </row>
    <row r="101" spans="1:43" x14ac:dyDescent="0.2">
      <c r="A101" s="298" t="s">
        <v>430</v>
      </c>
      <c r="G101" s="520" t="s">
        <v>453</v>
      </c>
    </row>
    <row r="102" spans="1:43" x14ac:dyDescent="0.2">
      <c r="A102" s="199"/>
      <c r="B102" s="199"/>
      <c r="C102" s="195"/>
      <c r="D102" s="195"/>
      <c r="E102" s="195"/>
      <c r="F102" s="199"/>
      <c r="G102" s="195"/>
      <c r="H102" s="195"/>
      <c r="I102" s="195"/>
      <c r="J102" s="195"/>
      <c r="K102" s="514"/>
      <c r="L102" s="514"/>
      <c r="M102" s="514"/>
      <c r="N102" s="514"/>
      <c r="O102" s="514"/>
      <c r="P102" s="514"/>
      <c r="Q102" s="514"/>
      <c r="R102" s="514"/>
      <c r="S102" s="514"/>
      <c r="T102" s="514"/>
      <c r="U102" s="514"/>
      <c r="V102" s="514"/>
      <c r="W102" s="514"/>
      <c r="X102" s="514"/>
      <c r="Y102" s="514"/>
      <c r="Z102" s="514"/>
      <c r="AA102" s="514"/>
      <c r="AB102" s="514"/>
      <c r="AC102" s="514"/>
      <c r="AD102" s="514"/>
      <c r="AE102" s="514"/>
      <c r="AF102" s="514"/>
      <c r="AG102" s="514"/>
      <c r="AH102" s="514"/>
      <c r="AI102" s="514"/>
      <c r="AJ102" s="514"/>
      <c r="AK102" s="514"/>
      <c r="AL102" s="514"/>
      <c r="AM102" s="514"/>
      <c r="AN102" s="514"/>
      <c r="AO102" s="539"/>
      <c r="AP102" s="539"/>
      <c r="AQ102" s="539"/>
    </row>
    <row r="103" spans="1:43" x14ac:dyDescent="0.2">
      <c r="A103" s="199"/>
      <c r="B103" s="489" t="s">
        <v>432</v>
      </c>
      <c r="C103" s="1064" t="s">
        <v>433</v>
      </c>
      <c r="D103" s="1065"/>
      <c r="E103" s="642" t="s">
        <v>434</v>
      </c>
      <c r="F103" s="643" t="s">
        <v>432</v>
      </c>
      <c r="G103" s="1064" t="s">
        <v>433</v>
      </c>
      <c r="H103" s="1065"/>
      <c r="I103" s="644" t="s">
        <v>434</v>
      </c>
      <c r="J103" s="195"/>
      <c r="K103" s="514"/>
      <c r="L103" s="514"/>
      <c r="M103" s="514"/>
      <c r="N103" s="514"/>
      <c r="O103" s="514"/>
      <c r="P103" s="514"/>
      <c r="Q103" s="514"/>
      <c r="R103" s="514"/>
      <c r="S103" s="514"/>
      <c r="T103" s="514"/>
      <c r="U103" s="514"/>
      <c r="V103" s="514"/>
      <c r="W103" s="514"/>
      <c r="X103" s="514"/>
      <c r="Y103" s="514"/>
      <c r="Z103" s="514"/>
      <c r="AA103" s="514"/>
      <c r="AB103" s="514"/>
      <c r="AC103" s="514"/>
      <c r="AD103" s="514"/>
      <c r="AE103" s="514"/>
      <c r="AF103" s="514"/>
      <c r="AG103" s="514"/>
      <c r="AH103" s="514"/>
      <c r="AI103" s="514"/>
      <c r="AJ103" s="514"/>
      <c r="AK103" s="514"/>
      <c r="AL103" s="514"/>
      <c r="AM103" s="514"/>
      <c r="AN103" s="514"/>
      <c r="AO103" s="539"/>
      <c r="AP103" s="539"/>
      <c r="AQ103" s="539"/>
    </row>
    <row r="104" spans="1:43" x14ac:dyDescent="0.2">
      <c r="A104" s="199"/>
      <c r="B104" s="495" t="s">
        <v>435</v>
      </c>
      <c r="C104" s="526" t="s">
        <v>436</v>
      </c>
      <c r="D104" s="527" t="s">
        <v>437</v>
      </c>
      <c r="E104" s="528" t="s">
        <v>438</v>
      </c>
      <c r="F104" s="525" t="s">
        <v>435</v>
      </c>
      <c r="G104" s="526" t="s">
        <v>436</v>
      </c>
      <c r="H104" s="527" t="s">
        <v>437</v>
      </c>
      <c r="I104" s="645" t="s">
        <v>438</v>
      </c>
      <c r="J104" s="195"/>
      <c r="K104" s="514"/>
      <c r="L104" s="514"/>
      <c r="M104" s="514"/>
      <c r="N104" s="514"/>
      <c r="O104" s="514"/>
      <c r="P104" s="514"/>
      <c r="Q104" s="514"/>
      <c r="R104" s="514"/>
      <c r="S104" s="514"/>
      <c r="T104" s="514"/>
      <c r="U104" s="514"/>
      <c r="V104" s="514"/>
      <c r="W104" s="514"/>
      <c r="X104" s="514"/>
      <c r="Y104" s="514"/>
      <c r="Z104" s="514"/>
      <c r="AA104" s="514"/>
      <c r="AB104" s="514"/>
      <c r="AC104" s="514"/>
      <c r="AD104" s="514"/>
      <c r="AE104" s="514"/>
      <c r="AF104" s="514"/>
      <c r="AG104" s="514"/>
      <c r="AH104" s="514"/>
      <c r="AI104" s="514"/>
      <c r="AJ104" s="514"/>
      <c r="AK104" s="514"/>
      <c r="AL104" s="514"/>
      <c r="AM104" s="514"/>
      <c r="AN104" s="514"/>
      <c r="AO104" s="539"/>
      <c r="AP104" s="539"/>
      <c r="AQ104" s="539"/>
    </row>
    <row r="105" spans="1:43" x14ac:dyDescent="0.2">
      <c r="A105" s="199"/>
      <c r="B105" s="303" t="s">
        <v>140</v>
      </c>
      <c r="C105" s="179">
        <f>'Total HAPs'!M39</f>
        <v>7.248985882352941E-4</v>
      </c>
      <c r="D105" s="179">
        <f>'Total HAPs'!N39</f>
        <v>7.248985882352941E-4</v>
      </c>
      <c r="E105" s="531"/>
      <c r="F105" s="178" t="s">
        <v>141</v>
      </c>
      <c r="G105" s="179">
        <f>'Total HAPs'!M40</f>
        <v>4.3493915294117644E-5</v>
      </c>
      <c r="H105" s="179">
        <f>'Total HAPs'!N40</f>
        <v>4.3493915294117644E-5</v>
      </c>
      <c r="I105" s="508"/>
      <c r="J105" s="195"/>
      <c r="K105" s="514"/>
      <c r="L105" s="514"/>
      <c r="M105" s="514"/>
      <c r="N105" s="514"/>
      <c r="O105" s="514"/>
      <c r="P105" s="514"/>
      <c r="Q105" s="514"/>
      <c r="R105" s="514"/>
      <c r="S105" s="514"/>
      <c r="T105" s="514"/>
      <c r="U105" s="514"/>
      <c r="V105" s="514"/>
      <c r="W105" s="514"/>
      <c r="X105" s="514"/>
      <c r="Y105" s="514"/>
      <c r="Z105" s="514"/>
      <c r="AA105" s="514"/>
      <c r="AB105" s="514"/>
      <c r="AC105" s="514"/>
      <c r="AD105" s="514"/>
      <c r="AE105" s="514"/>
      <c r="AF105" s="514"/>
      <c r="AG105" s="514"/>
      <c r="AH105" s="514"/>
      <c r="AI105" s="514"/>
      <c r="AJ105" s="514"/>
      <c r="AK105" s="514"/>
      <c r="AL105" s="514"/>
      <c r="AM105" s="514"/>
      <c r="AN105" s="514"/>
      <c r="AO105" s="539"/>
      <c r="AP105" s="539"/>
      <c r="AQ105" s="539"/>
    </row>
    <row r="106" spans="1:43" x14ac:dyDescent="0.2">
      <c r="A106" s="199"/>
      <c r="B106" s="199"/>
      <c r="C106" s="195"/>
      <c r="D106" s="195"/>
      <c r="E106" s="195"/>
      <c r="F106" s="199"/>
      <c r="G106" s="195"/>
      <c r="H106" s="195"/>
      <c r="I106" s="195"/>
      <c r="J106" s="195"/>
      <c r="K106" s="514"/>
      <c r="L106" s="514"/>
      <c r="M106" s="514"/>
      <c r="N106" s="514"/>
      <c r="O106" s="514"/>
      <c r="P106" s="514"/>
      <c r="Q106" s="514"/>
      <c r="R106" s="514"/>
      <c r="S106" s="514"/>
      <c r="T106" s="514"/>
      <c r="U106" s="514"/>
      <c r="V106" s="514"/>
      <c r="W106" s="514"/>
      <c r="X106" s="514"/>
      <c r="Y106" s="514"/>
      <c r="Z106" s="514"/>
      <c r="AA106" s="514"/>
      <c r="AB106" s="514"/>
      <c r="AC106" s="514"/>
      <c r="AD106" s="514"/>
      <c r="AE106" s="514"/>
      <c r="AF106" s="514"/>
      <c r="AG106" s="514"/>
      <c r="AH106" s="514"/>
      <c r="AI106" s="514"/>
      <c r="AJ106" s="514"/>
      <c r="AK106" s="514"/>
      <c r="AL106" s="514"/>
      <c r="AM106" s="514"/>
      <c r="AN106" s="514"/>
      <c r="AO106" s="539"/>
      <c r="AP106" s="539"/>
      <c r="AQ106" s="539"/>
    </row>
    <row r="107" spans="1:43" x14ac:dyDescent="0.2">
      <c r="A107" s="199"/>
      <c r="B107" s="489" t="s">
        <v>432</v>
      </c>
      <c r="C107" s="1064" t="s">
        <v>433</v>
      </c>
      <c r="D107" s="1065"/>
      <c r="E107" s="642" t="s">
        <v>434</v>
      </c>
      <c r="F107" s="643" t="s">
        <v>432</v>
      </c>
      <c r="G107" s="1064" t="s">
        <v>433</v>
      </c>
      <c r="H107" s="1065"/>
      <c r="I107" s="644" t="s">
        <v>434</v>
      </c>
      <c r="J107" s="195"/>
      <c r="K107" s="514"/>
      <c r="L107" s="514"/>
      <c r="M107" s="514"/>
      <c r="N107" s="514"/>
      <c r="O107" s="514"/>
      <c r="P107" s="514"/>
      <c r="Q107" s="514"/>
      <c r="R107" s="514"/>
      <c r="S107" s="514"/>
      <c r="T107" s="514"/>
      <c r="U107" s="514"/>
      <c r="V107" s="514"/>
      <c r="W107" s="514"/>
      <c r="X107" s="514"/>
      <c r="Y107" s="514"/>
      <c r="Z107" s="514"/>
      <c r="AA107" s="514"/>
      <c r="AB107" s="514"/>
      <c r="AC107" s="514"/>
      <c r="AD107" s="514"/>
      <c r="AE107" s="514"/>
      <c r="AF107" s="514"/>
      <c r="AG107" s="514"/>
      <c r="AH107" s="514"/>
      <c r="AI107" s="514"/>
      <c r="AJ107" s="514"/>
      <c r="AK107" s="514"/>
      <c r="AL107" s="514"/>
      <c r="AM107" s="514"/>
      <c r="AN107" s="514"/>
      <c r="AO107" s="539"/>
      <c r="AP107" s="539"/>
      <c r="AQ107" s="539"/>
    </row>
    <row r="108" spans="1:43" x14ac:dyDescent="0.2">
      <c r="A108" s="199"/>
      <c r="B108" s="495" t="s">
        <v>435</v>
      </c>
      <c r="C108" s="526" t="s">
        <v>436</v>
      </c>
      <c r="D108" s="527" t="s">
        <v>437</v>
      </c>
      <c r="E108" s="528" t="s">
        <v>438</v>
      </c>
      <c r="F108" s="525" t="s">
        <v>435</v>
      </c>
      <c r="G108" s="526" t="s">
        <v>436</v>
      </c>
      <c r="H108" s="527" t="s">
        <v>437</v>
      </c>
      <c r="I108" s="645" t="s">
        <v>438</v>
      </c>
      <c r="J108" s="195"/>
      <c r="K108" s="514"/>
      <c r="L108" s="514"/>
      <c r="M108" s="514"/>
      <c r="N108" s="514"/>
      <c r="O108" s="514"/>
      <c r="P108" s="514"/>
      <c r="Q108" s="514"/>
      <c r="R108" s="514"/>
      <c r="S108" s="514"/>
      <c r="T108" s="514"/>
      <c r="U108" s="514"/>
      <c r="V108" s="514"/>
      <c r="W108" s="514"/>
      <c r="X108" s="514"/>
      <c r="Y108" s="514"/>
      <c r="Z108" s="514"/>
      <c r="AA108" s="514"/>
      <c r="AB108" s="514"/>
      <c r="AC108" s="514"/>
      <c r="AD108" s="514"/>
      <c r="AE108" s="514"/>
      <c r="AF108" s="514"/>
      <c r="AG108" s="514"/>
      <c r="AH108" s="514"/>
      <c r="AI108" s="514"/>
      <c r="AJ108" s="514"/>
      <c r="AK108" s="514"/>
      <c r="AL108" s="514"/>
      <c r="AM108" s="514"/>
      <c r="AN108" s="514"/>
      <c r="AO108" s="539"/>
      <c r="AP108" s="539"/>
      <c r="AQ108" s="539"/>
    </row>
    <row r="109" spans="1:43" x14ac:dyDescent="0.2">
      <c r="A109" s="199"/>
      <c r="B109" s="303" t="s">
        <v>534</v>
      </c>
      <c r="C109" s="179">
        <f>'Total HAPs'!M41</f>
        <v>2.5889235294117649E-4</v>
      </c>
      <c r="D109" s="179">
        <f>'Total HAPs'!N41</f>
        <v>2.5889235294117649E-4</v>
      </c>
      <c r="E109" s="531"/>
      <c r="F109" s="178" t="s">
        <v>142</v>
      </c>
      <c r="G109" s="179">
        <f>'Total HAPs'!M42</f>
        <v>1.9675818823529411E-4</v>
      </c>
      <c r="H109" s="179">
        <f>'Total HAPs'!N42</f>
        <v>1.9675818823529411E-4</v>
      </c>
      <c r="I109" s="508"/>
      <c r="J109" s="195"/>
      <c r="K109" s="514"/>
      <c r="L109" s="514"/>
      <c r="M109" s="514"/>
      <c r="N109" s="514"/>
      <c r="O109" s="514"/>
      <c r="P109" s="514"/>
      <c r="Q109" s="514"/>
      <c r="R109" s="514"/>
      <c r="S109" s="514"/>
      <c r="T109" s="514"/>
      <c r="U109" s="514"/>
      <c r="V109" s="514"/>
      <c r="W109" s="514"/>
      <c r="X109" s="514"/>
      <c r="Y109" s="514"/>
      <c r="Z109" s="514"/>
      <c r="AA109" s="514"/>
      <c r="AB109" s="514"/>
      <c r="AC109" s="514"/>
      <c r="AD109" s="514"/>
      <c r="AE109" s="514"/>
      <c r="AF109" s="514"/>
      <c r="AG109" s="514"/>
      <c r="AH109" s="514"/>
      <c r="AI109" s="514"/>
      <c r="AJ109" s="514"/>
      <c r="AK109" s="514"/>
      <c r="AL109" s="514"/>
      <c r="AM109" s="514"/>
      <c r="AN109" s="514"/>
      <c r="AO109" s="539"/>
      <c r="AP109" s="539"/>
      <c r="AQ109" s="539"/>
    </row>
    <row r="110" spans="1:43" x14ac:dyDescent="0.2">
      <c r="A110" s="199"/>
      <c r="B110" s="199"/>
      <c r="C110" s="195"/>
      <c r="D110" s="195"/>
      <c r="E110" s="195"/>
      <c r="F110" s="199"/>
      <c r="G110" s="195"/>
      <c r="H110" s="195"/>
      <c r="I110" s="195"/>
      <c r="J110" s="195"/>
      <c r="K110" s="514"/>
      <c r="L110" s="514"/>
      <c r="M110" s="514"/>
      <c r="N110" s="514"/>
      <c r="O110" s="514"/>
      <c r="P110" s="514"/>
      <c r="Q110" s="514"/>
      <c r="R110" s="514"/>
      <c r="S110" s="514"/>
      <c r="T110" s="514"/>
      <c r="U110" s="514"/>
      <c r="V110" s="514"/>
      <c r="W110" s="514"/>
      <c r="X110" s="514"/>
      <c r="Y110" s="514"/>
      <c r="Z110" s="514"/>
      <c r="AA110" s="514"/>
      <c r="AB110" s="514"/>
      <c r="AC110" s="514"/>
      <c r="AD110" s="514"/>
      <c r="AE110" s="514"/>
      <c r="AF110" s="514"/>
      <c r="AG110" s="514"/>
      <c r="AH110" s="514"/>
      <c r="AI110" s="514"/>
      <c r="AJ110" s="514"/>
      <c r="AK110" s="514"/>
      <c r="AL110" s="514"/>
      <c r="AM110" s="514"/>
      <c r="AN110" s="514"/>
      <c r="AO110" s="539"/>
      <c r="AP110" s="539"/>
      <c r="AQ110" s="539"/>
    </row>
    <row r="111" spans="1:43" x14ac:dyDescent="0.2">
      <c r="A111" s="199"/>
      <c r="B111" s="489" t="s">
        <v>432</v>
      </c>
      <c r="C111" s="1064" t="s">
        <v>433</v>
      </c>
      <c r="D111" s="1065"/>
      <c r="E111" s="642" t="s">
        <v>434</v>
      </c>
      <c r="F111" s="643" t="s">
        <v>432</v>
      </c>
      <c r="G111" s="1064" t="s">
        <v>433</v>
      </c>
      <c r="H111" s="1065"/>
      <c r="I111" s="644" t="s">
        <v>434</v>
      </c>
      <c r="J111" s="195"/>
      <c r="K111" s="514"/>
      <c r="L111" s="514"/>
      <c r="M111" s="514"/>
      <c r="N111" s="514"/>
      <c r="O111" s="514"/>
      <c r="P111" s="514"/>
      <c r="Q111" s="514"/>
      <c r="R111" s="514"/>
      <c r="S111" s="514"/>
      <c r="T111" s="514"/>
      <c r="U111" s="514"/>
      <c r="V111" s="514"/>
      <c r="W111" s="514"/>
      <c r="X111" s="514"/>
      <c r="Y111" s="514"/>
      <c r="Z111" s="514"/>
      <c r="AA111" s="514"/>
      <c r="AB111" s="514"/>
      <c r="AC111" s="514"/>
      <c r="AD111" s="514"/>
      <c r="AE111" s="514"/>
      <c r="AF111" s="514"/>
      <c r="AG111" s="514"/>
      <c r="AH111" s="514"/>
      <c r="AI111" s="514"/>
      <c r="AJ111" s="514"/>
      <c r="AK111" s="514"/>
      <c r="AL111" s="514"/>
      <c r="AM111" s="514"/>
      <c r="AN111" s="514"/>
      <c r="AO111" s="539"/>
      <c r="AP111" s="539"/>
      <c r="AQ111" s="539"/>
    </row>
    <row r="112" spans="1:43" x14ac:dyDescent="0.2">
      <c r="A112" s="199"/>
      <c r="B112" s="495" t="s">
        <v>435</v>
      </c>
      <c r="C112" s="526" t="s">
        <v>436</v>
      </c>
      <c r="D112" s="527" t="s">
        <v>437</v>
      </c>
      <c r="E112" s="528" t="s">
        <v>438</v>
      </c>
      <c r="F112" s="525" t="s">
        <v>435</v>
      </c>
      <c r="G112" s="526" t="s">
        <v>436</v>
      </c>
      <c r="H112" s="527" t="s">
        <v>437</v>
      </c>
      <c r="I112" s="645" t="s">
        <v>438</v>
      </c>
      <c r="J112" s="195"/>
      <c r="K112" s="514"/>
      <c r="L112" s="514"/>
      <c r="M112" s="514"/>
      <c r="N112" s="514"/>
      <c r="O112" s="514"/>
      <c r="P112" s="514"/>
      <c r="Q112" s="514"/>
      <c r="R112" s="514"/>
      <c r="S112" s="514"/>
      <c r="T112" s="514"/>
      <c r="U112" s="514"/>
      <c r="V112" s="514"/>
      <c r="W112" s="514"/>
      <c r="X112" s="514"/>
      <c r="Y112" s="514"/>
      <c r="Z112" s="514"/>
      <c r="AA112" s="514"/>
      <c r="AB112" s="514"/>
      <c r="AC112" s="514"/>
      <c r="AD112" s="514"/>
      <c r="AE112" s="514"/>
      <c r="AF112" s="514"/>
      <c r="AG112" s="514"/>
      <c r="AH112" s="514"/>
      <c r="AI112" s="514"/>
      <c r="AJ112" s="514"/>
      <c r="AK112" s="514"/>
      <c r="AL112" s="514"/>
      <c r="AM112" s="514"/>
      <c r="AN112" s="514"/>
      <c r="AO112" s="539"/>
      <c r="AP112" s="539"/>
      <c r="AQ112" s="539"/>
    </row>
    <row r="113" spans="1:43" x14ac:dyDescent="0.2">
      <c r="A113" s="199"/>
      <c r="B113" s="303" t="s">
        <v>143</v>
      </c>
      <c r="C113" s="179">
        <f>'Total HAPs'!M43</f>
        <v>1.3462402352941175E-4</v>
      </c>
      <c r="D113" s="179">
        <f>'Total HAPs'!N43</f>
        <v>1.3462402352941175E-4</v>
      </c>
      <c r="E113" s="531"/>
      <c r="F113" s="178" t="s">
        <v>144</v>
      </c>
      <c r="G113" s="179">
        <f>'Total HAPs'!M44</f>
        <v>1.0873478823529412E-3</v>
      </c>
      <c r="H113" s="179">
        <f>'Total HAPs'!N44</f>
        <v>1.0873478823529412E-3</v>
      </c>
      <c r="I113" s="508"/>
      <c r="J113" s="195"/>
      <c r="K113" s="514"/>
      <c r="L113" s="514"/>
      <c r="M113" s="514"/>
      <c r="N113" s="514"/>
      <c r="O113" s="514"/>
      <c r="P113" s="514"/>
      <c r="Q113" s="514"/>
      <c r="R113" s="514"/>
      <c r="S113" s="514"/>
      <c r="T113" s="514"/>
      <c r="U113" s="514"/>
      <c r="V113" s="514"/>
      <c r="W113" s="514"/>
      <c r="X113" s="514"/>
      <c r="Y113" s="514"/>
      <c r="Z113" s="514"/>
      <c r="AA113" s="514"/>
      <c r="AB113" s="514"/>
      <c r="AC113" s="514"/>
      <c r="AD113" s="514"/>
      <c r="AE113" s="514"/>
      <c r="AF113" s="514"/>
      <c r="AG113" s="514"/>
      <c r="AH113" s="514"/>
      <c r="AI113" s="514"/>
      <c r="AJ113" s="514"/>
      <c r="AK113" s="514"/>
      <c r="AL113" s="514"/>
      <c r="AM113" s="514"/>
      <c r="AN113" s="514"/>
      <c r="AO113" s="539"/>
      <c r="AP113" s="539"/>
      <c r="AQ113" s="539"/>
    </row>
    <row r="114" spans="1:43" x14ac:dyDescent="0.2">
      <c r="A114" s="199"/>
      <c r="B114" s="199"/>
      <c r="C114" s="195"/>
      <c r="D114" s="195"/>
      <c r="E114" s="195"/>
      <c r="F114" s="199"/>
      <c r="G114" s="195"/>
      <c r="H114" s="195"/>
      <c r="I114" s="195"/>
      <c r="J114" s="195"/>
      <c r="K114" s="514"/>
      <c r="L114" s="514"/>
      <c r="M114" s="514"/>
      <c r="N114" s="514"/>
      <c r="O114" s="514"/>
      <c r="P114" s="514"/>
      <c r="Q114" s="514"/>
      <c r="R114" s="514"/>
      <c r="S114" s="514"/>
      <c r="T114" s="514"/>
      <c r="U114" s="514"/>
      <c r="V114" s="514"/>
      <c r="W114" s="514"/>
      <c r="X114" s="514"/>
      <c r="Y114" s="514"/>
      <c r="Z114" s="514"/>
      <c r="AA114" s="514"/>
      <c r="AB114" s="514"/>
      <c r="AC114" s="514"/>
      <c r="AD114" s="514"/>
      <c r="AE114" s="514"/>
      <c r="AF114" s="514"/>
      <c r="AG114" s="514"/>
      <c r="AH114" s="514"/>
      <c r="AI114" s="514"/>
      <c r="AJ114" s="514"/>
      <c r="AK114" s="514"/>
      <c r="AL114" s="514"/>
      <c r="AM114" s="514"/>
      <c r="AN114" s="514"/>
      <c r="AO114" s="539"/>
      <c r="AP114" s="539"/>
      <c r="AQ114" s="539"/>
    </row>
    <row r="115" spans="1:43" x14ac:dyDescent="0.2">
      <c r="A115" s="199"/>
      <c r="B115" s="489" t="s">
        <v>432</v>
      </c>
      <c r="C115" s="1064" t="s">
        <v>433</v>
      </c>
      <c r="D115" s="1065"/>
      <c r="E115" s="642" t="s">
        <v>434</v>
      </c>
      <c r="F115" s="643" t="s">
        <v>432</v>
      </c>
      <c r="G115" s="1064" t="s">
        <v>433</v>
      </c>
      <c r="H115" s="1065"/>
      <c r="I115" s="644" t="s">
        <v>434</v>
      </c>
      <c r="J115" s="195"/>
      <c r="K115" s="514"/>
      <c r="L115" s="514"/>
      <c r="M115" s="514"/>
      <c r="N115" s="514"/>
      <c r="O115" s="514"/>
      <c r="P115" s="514"/>
      <c r="Q115" s="514"/>
      <c r="R115" s="514"/>
      <c r="S115" s="514"/>
      <c r="T115" s="514"/>
      <c r="U115" s="514"/>
      <c r="V115" s="514"/>
      <c r="W115" s="514"/>
      <c r="X115" s="514"/>
      <c r="Y115" s="514"/>
      <c r="Z115" s="514"/>
      <c r="AA115" s="514"/>
      <c r="AB115" s="514"/>
      <c r="AC115" s="514"/>
      <c r="AD115" s="514"/>
      <c r="AE115" s="514"/>
      <c r="AF115" s="514"/>
      <c r="AG115" s="514"/>
      <c r="AH115" s="514"/>
      <c r="AI115" s="514"/>
      <c r="AJ115" s="514"/>
      <c r="AK115" s="514"/>
      <c r="AL115" s="514"/>
      <c r="AM115" s="514"/>
      <c r="AN115" s="514"/>
      <c r="AO115" s="539"/>
      <c r="AP115" s="539"/>
      <c r="AQ115" s="539"/>
    </row>
    <row r="116" spans="1:43" x14ac:dyDescent="0.2">
      <c r="A116" s="199"/>
      <c r="B116" s="495" t="s">
        <v>435</v>
      </c>
      <c r="C116" s="526" t="s">
        <v>436</v>
      </c>
      <c r="D116" s="527" t="s">
        <v>437</v>
      </c>
      <c r="E116" s="528" t="s">
        <v>438</v>
      </c>
      <c r="F116" s="525" t="s">
        <v>435</v>
      </c>
      <c r="G116" s="526" t="s">
        <v>436</v>
      </c>
      <c r="H116" s="527" t="s">
        <v>437</v>
      </c>
      <c r="I116" s="645" t="s">
        <v>438</v>
      </c>
      <c r="J116" s="195"/>
      <c r="K116" s="514"/>
      <c r="L116" s="514"/>
      <c r="M116" s="514"/>
      <c r="N116" s="514"/>
      <c r="O116" s="514"/>
      <c r="P116" s="514"/>
      <c r="Q116" s="514"/>
      <c r="R116" s="514"/>
      <c r="S116" s="514"/>
      <c r="T116" s="514"/>
      <c r="U116" s="514"/>
      <c r="V116" s="514"/>
      <c r="W116" s="514"/>
      <c r="X116" s="514"/>
      <c r="Y116" s="514"/>
      <c r="Z116" s="514"/>
      <c r="AA116" s="514"/>
      <c r="AB116" s="514"/>
      <c r="AC116" s="514"/>
      <c r="AD116" s="514"/>
      <c r="AE116" s="514"/>
      <c r="AF116" s="514"/>
      <c r="AG116" s="514"/>
      <c r="AH116" s="514"/>
      <c r="AI116" s="514"/>
      <c r="AJ116" s="514"/>
      <c r="AK116" s="514"/>
      <c r="AL116" s="514"/>
      <c r="AM116" s="514"/>
      <c r="AN116" s="514"/>
      <c r="AO116" s="539"/>
      <c r="AP116" s="539"/>
      <c r="AQ116" s="539"/>
    </row>
    <row r="117" spans="1:43" x14ac:dyDescent="0.2">
      <c r="A117" s="199"/>
      <c r="B117" s="303" t="s">
        <v>145</v>
      </c>
      <c r="C117" s="179">
        <f>'Total HAPs'!M45</f>
        <v>1.242683294117647E-5</v>
      </c>
      <c r="D117" s="179">
        <f>'Total HAPs'!N45</f>
        <v>1.242683294117647E-5</v>
      </c>
      <c r="E117" s="531"/>
      <c r="F117" s="178"/>
      <c r="G117" s="179"/>
      <c r="H117" s="179"/>
      <c r="I117" s="508"/>
      <c r="J117" s="195"/>
      <c r="K117" s="514"/>
      <c r="L117" s="514"/>
      <c r="M117" s="514"/>
      <c r="N117" s="514"/>
      <c r="O117" s="514"/>
      <c r="P117" s="514"/>
      <c r="Q117" s="514"/>
      <c r="R117" s="514"/>
      <c r="S117" s="514"/>
      <c r="T117" s="514"/>
      <c r="U117" s="514"/>
      <c r="V117" s="514"/>
      <c r="W117" s="514"/>
      <c r="X117" s="514"/>
      <c r="Y117" s="514"/>
      <c r="Z117" s="514"/>
      <c r="AA117" s="514"/>
      <c r="AB117" s="514"/>
      <c r="AC117" s="514"/>
      <c r="AD117" s="514"/>
      <c r="AE117" s="514"/>
      <c r="AF117" s="514"/>
      <c r="AG117" s="514"/>
      <c r="AH117" s="514"/>
      <c r="AI117" s="514"/>
      <c r="AJ117" s="514"/>
      <c r="AK117" s="514"/>
      <c r="AL117" s="514"/>
      <c r="AM117" s="514"/>
      <c r="AN117" s="514"/>
      <c r="AO117" s="539"/>
      <c r="AP117" s="539"/>
      <c r="AQ117" s="539"/>
    </row>
    <row r="118" spans="1:43" x14ac:dyDescent="0.2">
      <c r="A118" s="199"/>
      <c r="B118" s="199"/>
      <c r="C118" s="195"/>
      <c r="D118" s="195"/>
      <c r="E118" s="195"/>
      <c r="F118" s="199"/>
      <c r="G118" s="195"/>
      <c r="H118" s="195"/>
      <c r="I118" s="195"/>
      <c r="J118" s="195"/>
      <c r="K118" s="514"/>
      <c r="L118" s="514"/>
      <c r="M118" s="514"/>
      <c r="N118" s="514"/>
      <c r="O118" s="514"/>
      <c r="P118" s="514"/>
      <c r="Q118" s="514"/>
      <c r="R118" s="514"/>
      <c r="S118" s="514"/>
      <c r="T118" s="514"/>
      <c r="U118" s="514"/>
      <c r="V118" s="514"/>
      <c r="W118" s="514"/>
      <c r="X118" s="514"/>
      <c r="Y118" s="514"/>
      <c r="Z118" s="514"/>
      <c r="AA118" s="514"/>
      <c r="AB118" s="514"/>
      <c r="AC118" s="514"/>
      <c r="AD118" s="514"/>
      <c r="AE118" s="514"/>
      <c r="AF118" s="514"/>
      <c r="AG118" s="514"/>
      <c r="AH118" s="514"/>
      <c r="AI118" s="514"/>
      <c r="AJ118" s="514"/>
      <c r="AK118" s="514"/>
      <c r="AL118" s="514"/>
      <c r="AM118" s="514"/>
      <c r="AN118" s="514"/>
      <c r="AO118" s="539"/>
      <c r="AP118" s="539"/>
      <c r="AQ118" s="539"/>
    </row>
    <row r="119" spans="1:43" x14ac:dyDescent="0.2">
      <c r="A119" s="199"/>
      <c r="B119" s="489" t="s">
        <v>432</v>
      </c>
      <c r="C119" s="1064" t="s">
        <v>433</v>
      </c>
      <c r="D119" s="1065"/>
      <c r="E119" s="642" t="s">
        <v>434</v>
      </c>
      <c r="F119" s="643" t="s">
        <v>432</v>
      </c>
      <c r="G119" s="1064" t="s">
        <v>433</v>
      </c>
      <c r="H119" s="1065"/>
      <c r="I119" s="644" t="s">
        <v>434</v>
      </c>
      <c r="J119" s="195"/>
      <c r="K119" s="514"/>
      <c r="L119" s="514"/>
      <c r="M119" s="514"/>
      <c r="N119" s="514"/>
      <c r="O119" s="514"/>
      <c r="P119" s="514"/>
      <c r="Q119" s="514"/>
      <c r="R119" s="514"/>
      <c r="S119" s="514"/>
      <c r="T119" s="514"/>
      <c r="U119" s="514"/>
      <c r="V119" s="514"/>
      <c r="W119" s="514"/>
      <c r="X119" s="514"/>
      <c r="Y119" s="514"/>
      <c r="Z119" s="514"/>
      <c r="AA119" s="514"/>
      <c r="AB119" s="514"/>
      <c r="AC119" s="514"/>
      <c r="AD119" s="514"/>
      <c r="AE119" s="514"/>
      <c r="AF119" s="514"/>
      <c r="AG119" s="514"/>
      <c r="AH119" s="514"/>
      <c r="AI119" s="514"/>
      <c r="AJ119" s="514"/>
      <c r="AK119" s="514"/>
      <c r="AL119" s="514"/>
      <c r="AM119" s="514"/>
      <c r="AN119" s="514"/>
      <c r="AO119" s="539"/>
      <c r="AP119" s="539"/>
      <c r="AQ119" s="539"/>
    </row>
    <row r="120" spans="1:43" x14ac:dyDescent="0.2">
      <c r="A120" s="199"/>
      <c r="B120" s="495" t="s">
        <v>435</v>
      </c>
      <c r="C120" s="526" t="s">
        <v>436</v>
      </c>
      <c r="D120" s="527" t="s">
        <v>437</v>
      </c>
      <c r="E120" s="528" t="s">
        <v>438</v>
      </c>
      <c r="F120" s="525" t="s">
        <v>435</v>
      </c>
      <c r="G120" s="526" t="s">
        <v>436</v>
      </c>
      <c r="H120" s="527" t="s">
        <v>437</v>
      </c>
      <c r="I120" s="645" t="s">
        <v>438</v>
      </c>
      <c r="J120" s="195"/>
      <c r="K120" s="514"/>
      <c r="L120" s="514"/>
      <c r="M120" s="514"/>
      <c r="N120" s="514"/>
      <c r="O120" s="514"/>
      <c r="P120" s="514"/>
      <c r="Q120" s="514"/>
      <c r="R120" s="514"/>
      <c r="S120" s="514"/>
      <c r="T120" s="514"/>
      <c r="U120" s="514"/>
      <c r="V120" s="514"/>
      <c r="W120" s="514"/>
      <c r="X120" s="514"/>
      <c r="Y120" s="514"/>
      <c r="Z120" s="514"/>
      <c r="AA120" s="514"/>
      <c r="AB120" s="514"/>
      <c r="AC120" s="514"/>
      <c r="AD120" s="514"/>
      <c r="AE120" s="514"/>
      <c r="AF120" s="514"/>
      <c r="AG120" s="514"/>
      <c r="AH120" s="514"/>
      <c r="AI120" s="514"/>
      <c r="AJ120" s="514"/>
      <c r="AK120" s="514"/>
      <c r="AL120" s="514"/>
      <c r="AM120" s="514"/>
      <c r="AN120" s="514"/>
      <c r="AO120" s="539"/>
      <c r="AP120" s="539"/>
      <c r="AQ120" s="539"/>
    </row>
    <row r="121" spans="1:43" x14ac:dyDescent="0.2">
      <c r="A121" s="199"/>
      <c r="B121" s="303"/>
      <c r="C121" s="179"/>
      <c r="D121" s="179"/>
      <c r="E121" s="531"/>
      <c r="F121" s="178"/>
      <c r="G121" s="179"/>
      <c r="H121" s="179"/>
      <c r="I121" s="508"/>
      <c r="J121" s="195"/>
      <c r="K121" s="514"/>
      <c r="L121" s="514"/>
      <c r="M121" s="514"/>
      <c r="N121" s="514"/>
      <c r="O121" s="514"/>
      <c r="P121" s="514"/>
      <c r="Q121" s="514"/>
      <c r="R121" s="514"/>
      <c r="S121" s="514"/>
      <c r="T121" s="514"/>
      <c r="U121" s="514"/>
      <c r="V121" s="514"/>
      <c r="W121" s="514"/>
      <c r="X121" s="514"/>
      <c r="Y121" s="514"/>
      <c r="Z121" s="514"/>
      <c r="AA121" s="514"/>
      <c r="AB121" s="514"/>
      <c r="AC121" s="514"/>
      <c r="AD121" s="514"/>
      <c r="AE121" s="514"/>
      <c r="AF121" s="514"/>
      <c r="AG121" s="514"/>
      <c r="AH121" s="514"/>
      <c r="AI121" s="514"/>
      <c r="AJ121" s="514"/>
      <c r="AK121" s="514"/>
      <c r="AL121" s="514"/>
      <c r="AM121" s="514"/>
      <c r="AN121" s="514"/>
      <c r="AO121" s="539"/>
      <c r="AP121" s="539"/>
      <c r="AQ121" s="539"/>
    </row>
    <row r="122" spans="1:43" x14ac:dyDescent="0.2">
      <c r="A122" s="199"/>
      <c r="B122" s="199"/>
      <c r="C122" s="195"/>
      <c r="D122" s="195"/>
      <c r="E122" s="195"/>
      <c r="F122" s="199"/>
      <c r="G122" s="195"/>
      <c r="H122" s="195"/>
      <c r="I122" s="195"/>
      <c r="J122" s="195"/>
      <c r="K122" s="514"/>
      <c r="L122" s="514"/>
      <c r="M122" s="514"/>
      <c r="N122" s="514"/>
      <c r="O122" s="514"/>
      <c r="P122" s="514"/>
      <c r="Q122" s="514"/>
      <c r="R122" s="514"/>
      <c r="S122" s="514"/>
      <c r="T122" s="514"/>
      <c r="U122" s="514"/>
      <c r="V122" s="514"/>
      <c r="W122" s="514"/>
      <c r="X122" s="514"/>
      <c r="Y122" s="514"/>
      <c r="Z122" s="514"/>
      <c r="AA122" s="514"/>
      <c r="AB122" s="514"/>
      <c r="AC122" s="514"/>
      <c r="AD122" s="514"/>
      <c r="AE122" s="514"/>
      <c r="AF122" s="514"/>
      <c r="AG122" s="514"/>
      <c r="AH122" s="514"/>
      <c r="AI122" s="514"/>
      <c r="AJ122" s="514"/>
      <c r="AK122" s="514"/>
      <c r="AL122" s="514"/>
      <c r="AM122" s="514"/>
      <c r="AN122" s="514"/>
      <c r="AO122" s="539"/>
      <c r="AP122" s="539"/>
      <c r="AQ122" s="539"/>
    </row>
    <row r="123" spans="1:43" x14ac:dyDescent="0.2">
      <c r="A123" s="199"/>
      <c r="B123" s="489" t="s">
        <v>432</v>
      </c>
      <c r="C123" s="1064" t="s">
        <v>433</v>
      </c>
      <c r="D123" s="1065"/>
      <c r="E123" s="642" t="s">
        <v>434</v>
      </c>
      <c r="F123" s="643" t="s">
        <v>432</v>
      </c>
      <c r="G123" s="1064" t="s">
        <v>433</v>
      </c>
      <c r="H123" s="1065"/>
      <c r="I123" s="644" t="s">
        <v>434</v>
      </c>
      <c r="J123" s="195"/>
      <c r="K123" s="514"/>
      <c r="L123" s="514"/>
      <c r="M123" s="514"/>
      <c r="N123" s="514"/>
      <c r="O123" s="514"/>
      <c r="P123" s="514"/>
      <c r="Q123" s="514"/>
      <c r="R123" s="514"/>
      <c r="S123" s="514"/>
      <c r="T123" s="514"/>
      <c r="U123" s="514"/>
      <c r="V123" s="514"/>
      <c r="W123" s="514"/>
      <c r="X123" s="514"/>
      <c r="Y123" s="514"/>
      <c r="Z123" s="514"/>
      <c r="AA123" s="514"/>
      <c r="AB123" s="514"/>
      <c r="AC123" s="514"/>
      <c r="AD123" s="514"/>
      <c r="AE123" s="514"/>
      <c r="AF123" s="514"/>
      <c r="AG123" s="514"/>
      <c r="AH123" s="514"/>
      <c r="AI123" s="514"/>
      <c r="AJ123" s="514"/>
      <c r="AK123" s="514"/>
      <c r="AL123" s="514"/>
      <c r="AM123" s="514"/>
      <c r="AN123" s="514"/>
      <c r="AO123" s="539"/>
      <c r="AP123" s="539"/>
      <c r="AQ123" s="539"/>
    </row>
    <row r="124" spans="1:43" x14ac:dyDescent="0.2">
      <c r="A124" s="199"/>
      <c r="B124" s="495" t="s">
        <v>435</v>
      </c>
      <c r="C124" s="526" t="s">
        <v>436</v>
      </c>
      <c r="D124" s="527" t="s">
        <v>437</v>
      </c>
      <c r="E124" s="528" t="s">
        <v>438</v>
      </c>
      <c r="F124" s="525" t="s">
        <v>435</v>
      </c>
      <c r="G124" s="526" t="s">
        <v>436</v>
      </c>
      <c r="H124" s="527" t="s">
        <v>437</v>
      </c>
      <c r="I124" s="645" t="s">
        <v>438</v>
      </c>
      <c r="J124" s="195"/>
      <c r="K124" s="514"/>
      <c r="L124" s="514"/>
      <c r="M124" s="514"/>
      <c r="N124" s="514"/>
      <c r="O124" s="514"/>
      <c r="P124" s="514"/>
      <c r="Q124" s="514"/>
      <c r="R124" s="514"/>
      <c r="S124" s="514"/>
      <c r="T124" s="514"/>
      <c r="U124" s="514"/>
      <c r="V124" s="514"/>
      <c r="W124" s="514"/>
      <c r="X124" s="514"/>
      <c r="Y124" s="514"/>
      <c r="Z124" s="514"/>
      <c r="AA124" s="514"/>
      <c r="AB124" s="514"/>
      <c r="AC124" s="514"/>
      <c r="AD124" s="514"/>
      <c r="AE124" s="514"/>
      <c r="AF124" s="514"/>
      <c r="AG124" s="514"/>
      <c r="AH124" s="514"/>
      <c r="AI124" s="514"/>
      <c r="AJ124" s="514"/>
      <c r="AK124" s="514"/>
      <c r="AL124" s="514"/>
      <c r="AM124" s="514"/>
      <c r="AN124" s="514"/>
      <c r="AO124" s="539"/>
      <c r="AP124" s="539"/>
      <c r="AQ124" s="539"/>
    </row>
    <row r="125" spans="1:43" x14ac:dyDescent="0.2">
      <c r="A125" s="199"/>
      <c r="B125" s="303"/>
      <c r="C125" s="179"/>
      <c r="D125" s="179"/>
      <c r="E125" s="531"/>
      <c r="F125" s="178"/>
      <c r="G125" s="179"/>
      <c r="H125" s="179"/>
      <c r="I125" s="508"/>
      <c r="J125" s="195"/>
      <c r="K125" s="514"/>
      <c r="L125" s="514"/>
      <c r="M125" s="514"/>
      <c r="N125" s="514"/>
      <c r="O125" s="514"/>
      <c r="P125" s="514"/>
      <c r="Q125" s="514"/>
      <c r="R125" s="514"/>
      <c r="S125" s="514"/>
      <c r="T125" s="514"/>
      <c r="U125" s="514"/>
      <c r="V125" s="514"/>
      <c r="W125" s="514"/>
      <c r="X125" s="514"/>
      <c r="Y125" s="514"/>
      <c r="Z125" s="514"/>
      <c r="AA125" s="514"/>
      <c r="AB125" s="514"/>
      <c r="AC125" s="514"/>
      <c r="AD125" s="514"/>
      <c r="AE125" s="514"/>
      <c r="AF125" s="514"/>
      <c r="AG125" s="514"/>
      <c r="AH125" s="514"/>
      <c r="AI125" s="514"/>
      <c r="AJ125" s="514"/>
      <c r="AK125" s="514"/>
      <c r="AL125" s="514"/>
      <c r="AM125" s="514"/>
      <c r="AN125" s="514"/>
      <c r="AO125" s="539"/>
      <c r="AP125" s="539"/>
      <c r="AQ125" s="539"/>
    </row>
    <row r="126" spans="1:43" x14ac:dyDescent="0.2">
      <c r="A126" s="199"/>
      <c r="B126" s="199"/>
      <c r="C126" s="195"/>
      <c r="D126" s="195"/>
      <c r="E126" s="195"/>
      <c r="F126" s="199"/>
      <c r="G126" s="195"/>
      <c r="H126" s="195"/>
      <c r="I126" s="195"/>
      <c r="J126" s="195"/>
      <c r="K126" s="514"/>
      <c r="L126" s="514"/>
      <c r="M126" s="514"/>
      <c r="N126" s="514"/>
      <c r="O126" s="514"/>
      <c r="P126" s="514"/>
      <c r="Q126" s="514"/>
      <c r="R126" s="514"/>
      <c r="S126" s="514"/>
      <c r="T126" s="514"/>
      <c r="U126" s="514"/>
      <c r="V126" s="514"/>
      <c r="W126" s="514"/>
      <c r="X126" s="514"/>
      <c r="Y126" s="514"/>
      <c r="Z126" s="514"/>
      <c r="AA126" s="514"/>
      <c r="AB126" s="514"/>
      <c r="AC126" s="514"/>
      <c r="AD126" s="514"/>
      <c r="AE126" s="514"/>
      <c r="AF126" s="514"/>
      <c r="AG126" s="514"/>
      <c r="AH126" s="514"/>
      <c r="AI126" s="514"/>
      <c r="AJ126" s="514"/>
      <c r="AK126" s="514"/>
      <c r="AL126" s="514"/>
      <c r="AM126" s="514"/>
      <c r="AN126" s="514"/>
      <c r="AO126" s="539"/>
      <c r="AP126" s="539"/>
      <c r="AQ126" s="539"/>
    </row>
    <row r="127" spans="1:43" x14ac:dyDescent="0.2">
      <c r="A127" s="199"/>
      <c r="B127" s="489" t="s">
        <v>432</v>
      </c>
      <c r="C127" s="1064" t="s">
        <v>433</v>
      </c>
      <c r="D127" s="1065"/>
      <c r="E127" s="642" t="s">
        <v>434</v>
      </c>
      <c r="F127" s="643" t="s">
        <v>432</v>
      </c>
      <c r="G127" s="1064" t="s">
        <v>433</v>
      </c>
      <c r="H127" s="1065"/>
      <c r="I127" s="644" t="s">
        <v>434</v>
      </c>
      <c r="J127" s="195"/>
      <c r="K127" s="514"/>
      <c r="L127" s="514"/>
      <c r="M127" s="514"/>
      <c r="N127" s="514"/>
      <c r="O127" s="514"/>
      <c r="P127" s="514"/>
      <c r="Q127" s="514"/>
      <c r="R127" s="514"/>
      <c r="S127" s="514"/>
      <c r="T127" s="514"/>
      <c r="U127" s="514"/>
      <c r="V127" s="514"/>
      <c r="W127" s="514"/>
      <c r="X127" s="514"/>
      <c r="Y127" s="514"/>
      <c r="Z127" s="514"/>
      <c r="AA127" s="514"/>
      <c r="AB127" s="514"/>
      <c r="AC127" s="514"/>
      <c r="AD127" s="514"/>
      <c r="AE127" s="514"/>
      <c r="AF127" s="514"/>
      <c r="AG127" s="514"/>
      <c r="AH127" s="514"/>
      <c r="AI127" s="514"/>
      <c r="AJ127" s="514"/>
      <c r="AK127" s="514"/>
      <c r="AL127" s="514"/>
      <c r="AM127" s="514"/>
      <c r="AN127" s="514"/>
      <c r="AO127" s="543"/>
      <c r="AP127" s="543"/>
      <c r="AQ127" s="543"/>
    </row>
    <row r="128" spans="1:43" x14ac:dyDescent="0.2">
      <c r="A128" s="199"/>
      <c r="B128" s="495" t="s">
        <v>435</v>
      </c>
      <c r="C128" s="526" t="s">
        <v>436</v>
      </c>
      <c r="D128" s="527" t="s">
        <v>437</v>
      </c>
      <c r="E128" s="528" t="s">
        <v>438</v>
      </c>
      <c r="F128" s="525" t="s">
        <v>435</v>
      </c>
      <c r="G128" s="526" t="s">
        <v>436</v>
      </c>
      <c r="H128" s="527" t="s">
        <v>437</v>
      </c>
      <c r="I128" s="645" t="s">
        <v>438</v>
      </c>
      <c r="J128" s="195"/>
      <c r="K128" s="514"/>
      <c r="L128" s="514"/>
      <c r="M128" s="514"/>
      <c r="N128" s="514"/>
      <c r="O128" s="514"/>
      <c r="P128" s="514"/>
      <c r="Q128" s="514"/>
      <c r="R128" s="514"/>
      <c r="S128" s="514"/>
      <c r="T128" s="514"/>
      <c r="U128" s="514"/>
      <c r="V128" s="514"/>
      <c r="W128" s="514"/>
      <c r="X128" s="514"/>
      <c r="Y128" s="514"/>
      <c r="Z128" s="514"/>
      <c r="AA128" s="514"/>
      <c r="AB128" s="514"/>
      <c r="AC128" s="514"/>
      <c r="AD128" s="514"/>
      <c r="AE128" s="514"/>
      <c r="AF128" s="514"/>
      <c r="AG128" s="514"/>
      <c r="AH128" s="514"/>
      <c r="AI128" s="514"/>
      <c r="AJ128" s="514"/>
      <c r="AK128" s="514"/>
      <c r="AL128" s="514"/>
      <c r="AM128" s="514"/>
      <c r="AN128" s="514"/>
      <c r="AO128" s="543"/>
      <c r="AP128" s="543"/>
      <c r="AQ128" s="543"/>
    </row>
    <row r="129" spans="1:43" x14ac:dyDescent="0.2">
      <c r="A129" s="199"/>
      <c r="B129" s="303"/>
      <c r="C129" s="179"/>
      <c r="D129" s="179"/>
      <c r="E129" s="531"/>
      <c r="F129" s="178"/>
      <c r="G129" s="179"/>
      <c r="H129" s="179"/>
      <c r="I129" s="508"/>
      <c r="J129" s="195"/>
      <c r="K129" s="514"/>
      <c r="L129" s="514"/>
      <c r="M129" s="514"/>
      <c r="N129" s="514"/>
      <c r="O129" s="514"/>
      <c r="P129" s="514"/>
      <c r="Q129" s="514"/>
      <c r="R129" s="514"/>
      <c r="S129" s="514"/>
      <c r="T129" s="514"/>
      <c r="U129" s="514"/>
      <c r="V129" s="514"/>
      <c r="W129" s="514"/>
      <c r="X129" s="514"/>
      <c r="Y129" s="514"/>
      <c r="Z129" s="514"/>
      <c r="AA129" s="514"/>
      <c r="AB129" s="514"/>
      <c r="AC129" s="514"/>
      <c r="AD129" s="514"/>
      <c r="AE129" s="514"/>
      <c r="AF129" s="514"/>
      <c r="AG129" s="514"/>
      <c r="AH129" s="514"/>
      <c r="AI129" s="514"/>
      <c r="AJ129" s="514"/>
      <c r="AK129" s="514"/>
      <c r="AL129" s="514"/>
      <c r="AM129" s="514"/>
      <c r="AN129" s="514"/>
      <c r="AO129" s="543"/>
      <c r="AP129" s="543"/>
      <c r="AQ129" s="543"/>
    </row>
    <row r="130" spans="1:43" x14ac:dyDescent="0.2">
      <c r="A130" s="199"/>
      <c r="B130" s="199"/>
      <c r="C130" s="195"/>
      <c r="D130" s="195"/>
      <c r="E130" s="195"/>
      <c r="F130" s="199"/>
      <c r="G130" s="195"/>
      <c r="H130" s="195"/>
      <c r="I130" s="195"/>
      <c r="J130" s="195"/>
      <c r="K130" s="514"/>
      <c r="L130" s="514"/>
      <c r="M130" s="514"/>
      <c r="N130" s="514"/>
      <c r="O130" s="514"/>
      <c r="P130" s="514"/>
      <c r="Q130" s="514"/>
      <c r="R130" s="514"/>
      <c r="S130" s="514"/>
      <c r="T130" s="514"/>
      <c r="U130" s="514"/>
      <c r="V130" s="514"/>
      <c r="W130" s="514"/>
      <c r="X130" s="514"/>
      <c r="Y130" s="514"/>
      <c r="Z130" s="514"/>
      <c r="AA130" s="514"/>
      <c r="AB130" s="514"/>
      <c r="AC130" s="514"/>
      <c r="AD130" s="514"/>
      <c r="AE130" s="514"/>
      <c r="AF130" s="514"/>
      <c r="AG130" s="514"/>
      <c r="AH130" s="514"/>
      <c r="AI130" s="514"/>
      <c r="AJ130" s="514"/>
      <c r="AK130" s="514"/>
      <c r="AL130" s="514"/>
      <c r="AM130" s="514"/>
      <c r="AN130" s="514"/>
      <c r="AO130" s="543"/>
      <c r="AP130" s="543"/>
      <c r="AQ130" s="543"/>
    </row>
    <row r="131" spans="1:43" x14ac:dyDescent="0.2">
      <c r="A131" s="538" t="s">
        <v>589</v>
      </c>
      <c r="B131" s="298" t="s">
        <v>447</v>
      </c>
    </row>
    <row r="132" spans="1:43" x14ac:dyDescent="0.2">
      <c r="A132" s="737" t="s">
        <v>590</v>
      </c>
      <c r="B132" s="298" t="s">
        <v>448</v>
      </c>
    </row>
    <row r="133" spans="1:43" x14ac:dyDescent="0.2">
      <c r="A133" s="199"/>
      <c r="B133" s="199"/>
      <c r="C133" s="195"/>
      <c r="D133" s="195"/>
      <c r="E133" s="195"/>
      <c r="F133" s="199"/>
      <c r="G133" s="195"/>
      <c r="H133" s="195"/>
      <c r="I133" s="195"/>
      <c r="J133" s="195"/>
      <c r="K133" s="514"/>
      <c r="L133" s="514"/>
      <c r="M133" s="514"/>
      <c r="N133" s="514"/>
      <c r="O133" s="514"/>
      <c r="P133" s="514"/>
      <c r="Q133" s="514"/>
      <c r="R133" s="514"/>
      <c r="S133" s="514"/>
      <c r="T133" s="514"/>
      <c r="U133" s="514"/>
      <c r="V133" s="514"/>
      <c r="W133" s="514"/>
      <c r="X133" s="514"/>
      <c r="Y133" s="514"/>
      <c r="Z133" s="514"/>
      <c r="AA133" s="514"/>
      <c r="AB133" s="514"/>
      <c r="AC133" s="514"/>
      <c r="AD133" s="514"/>
      <c r="AE133" s="514"/>
      <c r="AF133" s="514"/>
      <c r="AG133" s="514"/>
      <c r="AH133" s="514"/>
      <c r="AI133" s="514"/>
      <c r="AJ133" s="514"/>
      <c r="AK133" s="514"/>
      <c r="AL133" s="514"/>
      <c r="AM133" s="514"/>
      <c r="AN133" s="514"/>
      <c r="AO133" s="543"/>
      <c r="AP133" s="543"/>
      <c r="AQ133" s="543"/>
    </row>
    <row r="134" spans="1:43" x14ac:dyDescent="0.2">
      <c r="A134" s="298" t="s">
        <v>430</v>
      </c>
      <c r="G134" s="520" t="s">
        <v>455</v>
      </c>
    </row>
    <row r="135" spans="1:43" x14ac:dyDescent="0.2">
      <c r="A135" s="199"/>
      <c r="B135" s="199"/>
      <c r="C135" s="195"/>
      <c r="D135" s="195"/>
      <c r="E135" s="195"/>
      <c r="F135" s="199"/>
      <c r="G135" s="195"/>
      <c r="H135" s="195"/>
      <c r="I135" s="195"/>
      <c r="J135" s="195"/>
      <c r="K135" s="514"/>
      <c r="L135" s="514"/>
      <c r="M135" s="514"/>
      <c r="N135" s="514"/>
      <c r="O135" s="514"/>
      <c r="P135" s="514"/>
      <c r="Q135" s="514"/>
      <c r="R135" s="514"/>
      <c r="S135" s="514"/>
      <c r="T135" s="514"/>
      <c r="U135" s="514"/>
      <c r="V135" s="514"/>
      <c r="W135" s="514"/>
      <c r="X135" s="514"/>
      <c r="Y135" s="514"/>
      <c r="Z135" s="514"/>
      <c r="AA135" s="514"/>
      <c r="AB135" s="514"/>
      <c r="AC135" s="514"/>
      <c r="AD135" s="514"/>
      <c r="AE135" s="514"/>
      <c r="AF135" s="514"/>
      <c r="AG135" s="514"/>
      <c r="AH135" s="514"/>
      <c r="AI135" s="514"/>
      <c r="AJ135" s="514"/>
      <c r="AK135" s="514"/>
      <c r="AL135" s="514"/>
      <c r="AM135" s="514"/>
      <c r="AN135" s="514"/>
      <c r="AO135" s="543"/>
      <c r="AP135" s="543"/>
      <c r="AQ135" s="543"/>
    </row>
    <row r="136" spans="1:43" x14ac:dyDescent="0.2">
      <c r="B136" s="522" t="s">
        <v>432</v>
      </c>
      <c r="C136" s="1063" t="s">
        <v>433</v>
      </c>
      <c r="D136" s="1044"/>
      <c r="E136" s="523" t="s">
        <v>434</v>
      </c>
      <c r="F136" s="522" t="s">
        <v>432</v>
      </c>
      <c r="G136" s="1063" t="s">
        <v>433</v>
      </c>
      <c r="H136" s="1044"/>
      <c r="I136" s="524" t="s">
        <v>434</v>
      </c>
    </row>
    <row r="137" spans="1:43" x14ac:dyDescent="0.2">
      <c r="B137" s="525" t="s">
        <v>435</v>
      </c>
      <c r="C137" s="526" t="s">
        <v>436</v>
      </c>
      <c r="D137" s="527" t="s">
        <v>437</v>
      </c>
      <c r="E137" s="528" t="s">
        <v>438</v>
      </c>
      <c r="F137" s="525" t="s">
        <v>435</v>
      </c>
      <c r="G137" s="526" t="s">
        <v>436</v>
      </c>
      <c r="H137" s="527" t="s">
        <v>437</v>
      </c>
      <c r="I137" s="529" t="s">
        <v>438</v>
      </c>
    </row>
    <row r="138" spans="1:43" ht="12.75" customHeight="1" x14ac:dyDescent="0.2">
      <c r="A138" s="530"/>
      <c r="B138" s="178"/>
      <c r="C138" s="263"/>
      <c r="D138" s="263"/>
      <c r="E138" s="531"/>
      <c r="F138" s="532"/>
      <c r="G138" s="537"/>
      <c r="H138" s="544"/>
      <c r="I138" s="263"/>
    </row>
    <row r="139" spans="1:43" x14ac:dyDescent="0.2">
      <c r="B139" s="199"/>
      <c r="C139" s="195"/>
      <c r="D139" s="195"/>
      <c r="E139" s="195"/>
      <c r="F139" s="199"/>
      <c r="G139" s="195"/>
      <c r="H139" s="195"/>
      <c r="I139" s="195"/>
    </row>
    <row r="140" spans="1:43" x14ac:dyDescent="0.2">
      <c r="B140" s="522" t="s">
        <v>432</v>
      </c>
      <c r="C140" s="1063" t="s">
        <v>433</v>
      </c>
      <c r="D140" s="1044"/>
      <c r="E140" s="523" t="s">
        <v>434</v>
      </c>
      <c r="F140" s="522" t="s">
        <v>432</v>
      </c>
      <c r="G140" s="1063" t="s">
        <v>433</v>
      </c>
      <c r="H140" s="1044"/>
      <c r="I140" s="524" t="s">
        <v>434</v>
      </c>
    </row>
    <row r="141" spans="1:43" x14ac:dyDescent="0.2">
      <c r="B141" s="525" t="s">
        <v>435</v>
      </c>
      <c r="C141" s="526" t="s">
        <v>436</v>
      </c>
      <c r="D141" s="527" t="s">
        <v>437</v>
      </c>
      <c r="E141" s="528" t="s">
        <v>438</v>
      </c>
      <c r="F141" s="525" t="s">
        <v>435</v>
      </c>
      <c r="G141" s="526" t="s">
        <v>436</v>
      </c>
      <c r="H141" s="527" t="s">
        <v>437</v>
      </c>
      <c r="I141" s="529" t="s">
        <v>438</v>
      </c>
    </row>
    <row r="142" spans="1:43" x14ac:dyDescent="0.2">
      <c r="A142" s="533"/>
      <c r="B142" s="534"/>
      <c r="C142" s="263"/>
      <c r="D142" s="263"/>
      <c r="E142" s="531"/>
      <c r="F142" s="532"/>
      <c r="G142" s="263"/>
      <c r="H142" s="263"/>
      <c r="I142" s="263"/>
    </row>
    <row r="143" spans="1:43" x14ac:dyDescent="0.2">
      <c r="B143" s="199"/>
      <c r="C143" s="195"/>
      <c r="D143" s="195"/>
      <c r="E143" s="195"/>
      <c r="F143" s="199"/>
      <c r="G143" s="195"/>
      <c r="H143" s="195"/>
      <c r="I143" s="195"/>
    </row>
    <row r="144" spans="1:43" x14ac:dyDescent="0.2">
      <c r="B144" s="522" t="s">
        <v>432</v>
      </c>
      <c r="C144" s="1063" t="s">
        <v>433</v>
      </c>
      <c r="D144" s="1044"/>
      <c r="E144" s="523" t="s">
        <v>434</v>
      </c>
      <c r="F144" s="522" t="s">
        <v>432</v>
      </c>
      <c r="G144" s="1063" t="s">
        <v>433</v>
      </c>
      <c r="H144" s="1044"/>
      <c r="I144" s="524" t="s">
        <v>434</v>
      </c>
    </row>
    <row r="145" spans="1:9" x14ac:dyDescent="0.2">
      <c r="B145" s="525" t="s">
        <v>435</v>
      </c>
      <c r="C145" s="526" t="s">
        <v>436</v>
      </c>
      <c r="D145" s="527" t="s">
        <v>437</v>
      </c>
      <c r="E145" s="528" t="s">
        <v>438</v>
      </c>
      <c r="F145" s="525" t="s">
        <v>435</v>
      </c>
      <c r="G145" s="526" t="s">
        <v>436</v>
      </c>
      <c r="H145" s="527" t="s">
        <v>437</v>
      </c>
      <c r="I145" s="529" t="s">
        <v>438</v>
      </c>
    </row>
    <row r="146" spans="1:9" x14ac:dyDescent="0.2">
      <c r="B146" s="178"/>
      <c r="C146" s="263"/>
      <c r="D146" s="263"/>
      <c r="E146" s="531"/>
      <c r="F146" s="532"/>
      <c r="G146" s="263"/>
      <c r="H146" s="263"/>
      <c r="I146" s="263"/>
    </row>
    <row r="148" spans="1:9" x14ac:dyDescent="0.2">
      <c r="B148" s="522" t="s">
        <v>432</v>
      </c>
      <c r="C148" s="1063" t="s">
        <v>433</v>
      </c>
      <c r="D148" s="1044"/>
      <c r="E148" s="523" t="s">
        <v>434</v>
      </c>
      <c r="F148" s="522" t="s">
        <v>432</v>
      </c>
      <c r="G148" s="1063" t="s">
        <v>433</v>
      </c>
      <c r="H148" s="1044"/>
      <c r="I148" s="524" t="s">
        <v>434</v>
      </c>
    </row>
    <row r="149" spans="1:9" x14ac:dyDescent="0.2">
      <c r="B149" s="525" t="s">
        <v>435</v>
      </c>
      <c r="C149" s="526" t="s">
        <v>436</v>
      </c>
      <c r="D149" s="527" t="s">
        <v>437</v>
      </c>
      <c r="E149" s="528" t="s">
        <v>438</v>
      </c>
      <c r="F149" s="525" t="s">
        <v>435</v>
      </c>
      <c r="G149" s="526" t="s">
        <v>436</v>
      </c>
      <c r="H149" s="527" t="s">
        <v>437</v>
      </c>
      <c r="I149" s="529" t="s">
        <v>438</v>
      </c>
    </row>
    <row r="150" spans="1:9" x14ac:dyDescent="0.2">
      <c r="B150" s="178"/>
      <c r="C150" s="263"/>
      <c r="D150" s="263"/>
      <c r="E150" s="531"/>
      <c r="F150" s="532"/>
      <c r="G150" s="263"/>
      <c r="H150" s="263"/>
      <c r="I150" s="263"/>
    </row>
    <row r="152" spans="1:9" x14ac:dyDescent="0.2">
      <c r="B152" s="522" t="s">
        <v>432</v>
      </c>
      <c r="C152" s="1063" t="s">
        <v>433</v>
      </c>
      <c r="D152" s="1044"/>
      <c r="E152" s="523" t="s">
        <v>434</v>
      </c>
      <c r="F152" s="522" t="s">
        <v>432</v>
      </c>
      <c r="G152" s="1063" t="s">
        <v>433</v>
      </c>
      <c r="H152" s="1044"/>
      <c r="I152" s="524" t="s">
        <v>434</v>
      </c>
    </row>
    <row r="153" spans="1:9" x14ac:dyDescent="0.2">
      <c r="B153" s="525" t="s">
        <v>435</v>
      </c>
      <c r="C153" s="526" t="s">
        <v>436</v>
      </c>
      <c r="D153" s="527" t="s">
        <v>437</v>
      </c>
      <c r="E153" s="528" t="s">
        <v>438</v>
      </c>
      <c r="F153" s="525" t="s">
        <v>435</v>
      </c>
      <c r="G153" s="526" t="s">
        <v>436</v>
      </c>
      <c r="H153" s="527" t="s">
        <v>437</v>
      </c>
      <c r="I153" s="529" t="s">
        <v>438</v>
      </c>
    </row>
    <row r="154" spans="1:9" x14ac:dyDescent="0.2">
      <c r="B154" s="178"/>
      <c r="C154" s="263"/>
      <c r="D154" s="263"/>
      <c r="E154" s="531"/>
      <c r="F154" s="532"/>
      <c r="G154" s="263"/>
      <c r="H154" s="263"/>
      <c r="I154" s="263"/>
    </row>
    <row r="156" spans="1:9" x14ac:dyDescent="0.2">
      <c r="A156" s="538" t="s">
        <v>589</v>
      </c>
      <c r="B156" s="298" t="s">
        <v>447</v>
      </c>
    </row>
    <row r="157" spans="1:9" x14ac:dyDescent="0.2">
      <c r="A157" s="737" t="s">
        <v>590</v>
      </c>
      <c r="B157" s="298" t="s">
        <v>448</v>
      </c>
    </row>
  </sheetData>
  <mergeCells count="76">
    <mergeCell ref="C4:D4"/>
    <mergeCell ref="G4:H4"/>
    <mergeCell ref="C8:D8"/>
    <mergeCell ref="G8:H8"/>
    <mergeCell ref="C12:D12"/>
    <mergeCell ref="G12:H12"/>
    <mergeCell ref="C16:D16"/>
    <mergeCell ref="G16:H16"/>
    <mergeCell ref="C20:D20"/>
    <mergeCell ref="G20:H20"/>
    <mergeCell ref="C24:D24"/>
    <mergeCell ref="G24:H24"/>
    <mergeCell ref="C28:D28"/>
    <mergeCell ref="G28:H28"/>
    <mergeCell ref="C37:D37"/>
    <mergeCell ref="G37:H37"/>
    <mergeCell ref="C41:D41"/>
    <mergeCell ref="G41:H41"/>
    <mergeCell ref="C45:D45"/>
    <mergeCell ref="G45:H45"/>
    <mergeCell ref="C49:D49"/>
    <mergeCell ref="G49:H49"/>
    <mergeCell ref="C53:D53"/>
    <mergeCell ref="G53:H53"/>
    <mergeCell ref="O54:P54"/>
    <mergeCell ref="S54:T54"/>
    <mergeCell ref="C57:D57"/>
    <mergeCell ref="G57:H57"/>
    <mergeCell ref="O58:P58"/>
    <mergeCell ref="S58:T58"/>
    <mergeCell ref="C61:D61"/>
    <mergeCell ref="G61:H61"/>
    <mergeCell ref="O62:P62"/>
    <mergeCell ref="S62:T62"/>
    <mergeCell ref="C70:D70"/>
    <mergeCell ref="G70:H70"/>
    <mergeCell ref="O71:P71"/>
    <mergeCell ref="S71:T71"/>
    <mergeCell ref="C74:D74"/>
    <mergeCell ref="G74:H74"/>
    <mergeCell ref="O75:P75"/>
    <mergeCell ref="S75:T75"/>
    <mergeCell ref="C78:D78"/>
    <mergeCell ref="G78:H78"/>
    <mergeCell ref="C82:D82"/>
    <mergeCell ref="G82:H82"/>
    <mergeCell ref="C86:D86"/>
    <mergeCell ref="G86:H86"/>
    <mergeCell ref="C90:D90"/>
    <mergeCell ref="G90:H90"/>
    <mergeCell ref="C94:D94"/>
    <mergeCell ref="G94:H94"/>
    <mergeCell ref="C103:D103"/>
    <mergeCell ref="G103:H103"/>
    <mergeCell ref="C107:D107"/>
    <mergeCell ref="G107:H107"/>
    <mergeCell ref="C111:D111"/>
    <mergeCell ref="G111:H111"/>
    <mergeCell ref="C115:D115"/>
    <mergeCell ref="G115:H115"/>
    <mergeCell ref="C119:D119"/>
    <mergeCell ref="G119:H119"/>
    <mergeCell ref="C123:D123"/>
    <mergeCell ref="G123:H123"/>
    <mergeCell ref="C127:D127"/>
    <mergeCell ref="G127:H127"/>
    <mergeCell ref="C148:D148"/>
    <mergeCell ref="G148:H148"/>
    <mergeCell ref="C152:D152"/>
    <mergeCell ref="G152:H152"/>
    <mergeCell ref="C136:D136"/>
    <mergeCell ref="G136:H136"/>
    <mergeCell ref="C140:D140"/>
    <mergeCell ref="G140:H140"/>
    <mergeCell ref="C144:D144"/>
    <mergeCell ref="G144:H144"/>
  </mergeCells>
  <printOptions horizontalCentered="1"/>
  <pageMargins left="0.7" right="0.7" top="0.75" bottom="3.125" header="0.3" footer="0.3"/>
  <pageSetup scale="68" fitToHeight="4" orientation="landscape" r:id="rId1"/>
  <headerFooter alignWithMargins="0">
    <oddHeader>&amp;L
   &amp;"Arial,Bold"&amp;12Emissions Summary Table</oddHeader>
    <oddFooter>&amp;L
www.pca.state.mn.us                            651-296-6300
&amp;"Arial,Italic"aq-f1-gi07 6/18/15&amp;C800-657-3864         TTY 651-282-5332 or 800-657-3864 
&amp;RAvailable in alternative formats
&amp;"Arial,Italic"Page 2 of 4</oddFooter>
  </headerFooter>
  <rowBreaks count="3" manualBreakCount="3">
    <brk id="33" max="9" man="1"/>
    <brk id="66" max="9" man="1"/>
    <brk id="99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view="pageBreakPreview" topLeftCell="Q1" zoomScaleNormal="90" zoomScaleSheetLayoutView="100" workbookViewId="0">
      <selection activeCell="Y5" sqref="Y5:Z5"/>
    </sheetView>
  </sheetViews>
  <sheetFormatPr defaultRowHeight="12.75" x14ac:dyDescent="0.2"/>
  <cols>
    <col min="1" max="1" width="30.140625" bestFit="1" customWidth="1"/>
    <col min="2" max="2" width="10.140625" style="370" bestFit="1" customWidth="1"/>
    <col min="3" max="5" width="9.85546875" style="1" hidden="1" customWidth="1"/>
    <col min="6" max="6" width="9.42578125" style="1" hidden="1" customWidth="1"/>
    <col min="7" max="8" width="9.28515625" style="1" hidden="1" customWidth="1"/>
    <col min="9" max="9" width="9.7109375" style="1" hidden="1" customWidth="1"/>
    <col min="10" max="11" width="9.42578125" style="1" hidden="1" customWidth="1"/>
    <col min="12" max="12" width="11.140625" style="1" bestFit="1" customWidth="1"/>
    <col min="13" max="13" width="11.140625" style="1" customWidth="1"/>
    <col min="14" max="14" width="11.28515625" style="1" bestFit="1" customWidth="1"/>
    <col min="15" max="15" width="11.28515625" style="1" customWidth="1"/>
    <col min="16" max="16" width="9.28515625" bestFit="1" customWidth="1"/>
    <col min="17" max="17" width="30.140625" bestFit="1" customWidth="1"/>
    <col min="18" max="18" width="10.140625" bestFit="1" customWidth="1"/>
    <col min="19" max="19" width="9.85546875" bestFit="1" customWidth="1"/>
    <col min="20" max="20" width="9.42578125" bestFit="1" customWidth="1"/>
    <col min="21" max="22" width="9.85546875" bestFit="1" customWidth="1"/>
    <col min="23" max="23" width="9.42578125" bestFit="1" customWidth="1"/>
    <col min="24" max="24" width="9.28515625" bestFit="1" customWidth="1"/>
    <col min="25" max="25" width="9.7109375" bestFit="1" customWidth="1"/>
    <col min="26" max="26" width="9.42578125" bestFit="1" customWidth="1"/>
    <col min="27" max="27" width="11.140625" bestFit="1" customWidth="1"/>
    <col min="28" max="28" width="11.28515625" bestFit="1" customWidth="1"/>
  </cols>
  <sheetData>
    <row r="1" spans="1:28" s="119" customFormat="1" ht="18" x14ac:dyDescent="0.25">
      <c r="A1" s="953" t="s">
        <v>11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473"/>
      <c r="P1" s="428"/>
    </row>
    <row r="2" spans="1:28" s="119" customFormat="1" ht="15.75" x14ac:dyDescent="0.25">
      <c r="A2" s="949" t="s">
        <v>301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474"/>
      <c r="P2" s="429"/>
    </row>
    <row r="3" spans="1:28" s="119" customFormat="1" ht="15.75" x14ac:dyDescent="0.25">
      <c r="A3" s="949" t="s">
        <v>302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  <c r="M3" s="949"/>
      <c r="N3" s="949"/>
      <c r="O3" s="474"/>
      <c r="P3" s="429"/>
    </row>
    <row r="4" spans="1:28" s="119" customFormat="1" ht="16.5" thickBot="1" x14ac:dyDescent="0.3">
      <c r="A4" s="380"/>
      <c r="B4" s="380"/>
      <c r="C4" s="380"/>
      <c r="D4" s="380"/>
      <c r="E4" s="474"/>
      <c r="F4" s="380"/>
      <c r="G4" s="380"/>
      <c r="H4" s="474"/>
      <c r="I4" s="380"/>
      <c r="J4" s="380"/>
      <c r="K4" s="474"/>
      <c r="L4" s="380"/>
      <c r="M4" s="474"/>
      <c r="N4" s="380"/>
      <c r="O4" s="474"/>
      <c r="P4" s="380"/>
    </row>
    <row r="5" spans="1:28" s="9" customFormat="1" ht="13.5" thickBot="1" x14ac:dyDescent="0.25">
      <c r="B5" s="370"/>
      <c r="C5" s="1068" t="s">
        <v>2</v>
      </c>
      <c r="D5" s="1066"/>
      <c r="E5" s="475"/>
      <c r="F5" s="1066" t="s">
        <v>1</v>
      </c>
      <c r="G5" s="1066"/>
      <c r="H5" s="475"/>
      <c r="I5" s="1066" t="s">
        <v>243</v>
      </c>
      <c r="J5" s="1066"/>
      <c r="K5" s="790"/>
      <c r="L5" s="1068" t="s">
        <v>319</v>
      </c>
      <c r="M5" s="1069"/>
      <c r="N5" s="1067"/>
      <c r="O5" s="615"/>
      <c r="R5" s="370"/>
      <c r="S5" s="1068" t="s">
        <v>613</v>
      </c>
      <c r="T5" s="1066"/>
      <c r="U5" s="1066" t="s">
        <v>614</v>
      </c>
      <c r="V5" s="1066"/>
      <c r="W5" s="1066" t="s">
        <v>617</v>
      </c>
      <c r="X5" s="1066"/>
      <c r="Y5" s="1066" t="s">
        <v>646</v>
      </c>
      <c r="Z5" s="1066"/>
      <c r="AA5" s="1066" t="s">
        <v>0</v>
      </c>
      <c r="AB5" s="1067"/>
    </row>
    <row r="6" spans="1:28" s="9" customFormat="1" ht="31.5" customHeight="1" x14ac:dyDescent="0.2">
      <c r="A6" s="396" t="s">
        <v>262</v>
      </c>
      <c r="B6" s="617" t="s">
        <v>263</v>
      </c>
      <c r="C6" s="621" t="s">
        <v>531</v>
      </c>
      <c r="D6" s="468" t="s">
        <v>532</v>
      </c>
      <c r="E6" s="468" t="s">
        <v>533</v>
      </c>
      <c r="F6" s="468" t="s">
        <v>531</v>
      </c>
      <c r="G6" s="468" t="s">
        <v>532</v>
      </c>
      <c r="H6" s="468" t="s">
        <v>533</v>
      </c>
      <c r="I6" s="468" t="s">
        <v>531</v>
      </c>
      <c r="J6" s="468" t="s">
        <v>532</v>
      </c>
      <c r="K6" s="468" t="s">
        <v>533</v>
      </c>
      <c r="L6" s="468" t="s">
        <v>531</v>
      </c>
      <c r="M6" s="468" t="s">
        <v>532</v>
      </c>
      <c r="N6" s="622" t="s">
        <v>533</v>
      </c>
      <c r="O6" s="615"/>
      <c r="Q6" s="396" t="s">
        <v>262</v>
      </c>
      <c r="R6" s="404" t="s">
        <v>263</v>
      </c>
      <c r="S6" s="388" t="s">
        <v>5</v>
      </c>
      <c r="T6" s="387" t="s">
        <v>255</v>
      </c>
      <c r="U6" s="387" t="s">
        <v>5</v>
      </c>
      <c r="V6" s="387" t="s">
        <v>255</v>
      </c>
      <c r="W6" s="387" t="s">
        <v>5</v>
      </c>
      <c r="X6" s="387" t="s">
        <v>255</v>
      </c>
      <c r="Y6" s="387" t="s">
        <v>5</v>
      </c>
      <c r="Z6" s="387" t="s">
        <v>255</v>
      </c>
      <c r="AA6" s="387" t="s">
        <v>5</v>
      </c>
      <c r="AB6" s="389" t="s">
        <v>255</v>
      </c>
    </row>
    <row r="7" spans="1:28" x14ac:dyDescent="0.2">
      <c r="A7" s="397" t="s">
        <v>113</v>
      </c>
      <c r="B7" s="618" t="s">
        <v>264</v>
      </c>
      <c r="C7" s="390">
        <f>'Combustion (Proposed)'!L12</f>
        <v>7.5354451626727636E-7</v>
      </c>
      <c r="D7" s="385">
        <f>'Combustion (Proposed)'!M12</f>
        <v>3.3005249812506704E-6</v>
      </c>
      <c r="E7" s="385">
        <f>'Combustion (Proposed)'!N12</f>
        <v>3.3005249812506704E-6</v>
      </c>
      <c r="F7" s="385">
        <f>'Combustion (Proposed)'!O77</f>
        <v>3.09115E-6</v>
      </c>
      <c r="G7" s="385">
        <f>'Combustion (Proposed)'!P77</f>
        <v>1.3539237E-5</v>
      </c>
      <c r="H7" s="385">
        <f>'Combustion (Proposed)'!Q77</f>
        <v>1.3539237E-5</v>
      </c>
      <c r="I7" s="385">
        <f>'Combustion (Proposed)'!O145</f>
        <v>1.723166666666667E-5</v>
      </c>
      <c r="J7" s="385">
        <f>'Combustion (Proposed)'!P145</f>
        <v>7.5474700000000025E-5</v>
      </c>
      <c r="K7" s="385">
        <f>'Combustion (Proposed)'!Q145</f>
        <v>7.5474700000000025E-5</v>
      </c>
      <c r="L7" s="386">
        <f>SUM(C7,F7,I7)</f>
        <v>2.1076361182933947E-5</v>
      </c>
      <c r="M7" s="386">
        <f>SUM(D7,G7,J7)</f>
        <v>9.2314461981250697E-5</v>
      </c>
      <c r="N7" s="391">
        <f>SUM(E7,H7,K7)</f>
        <v>9.2314461981250697E-5</v>
      </c>
      <c r="O7" s="616"/>
      <c r="P7">
        <v>1</v>
      </c>
      <c r="Q7" s="397" t="s">
        <v>113</v>
      </c>
      <c r="R7" s="398" t="s">
        <v>264</v>
      </c>
      <c r="S7" s="390">
        <v>8.4510692436367602E-6</v>
      </c>
      <c r="T7" s="385">
        <v>3.7015683287129023E-5</v>
      </c>
      <c r="U7" s="385">
        <v>8.2853620035654551E-7</v>
      </c>
      <c r="V7" s="385">
        <v>3.628988557561669E-6</v>
      </c>
      <c r="W7" s="385">
        <v>2.9131332804536138E-6</v>
      </c>
      <c r="X7" s="385">
        <v>1.2759523768386827E-5</v>
      </c>
      <c r="Y7" s="385">
        <v>5.5762294203778441E-6</v>
      </c>
      <c r="Z7" s="385">
        <v>2.4423884861254957E-5</v>
      </c>
      <c r="AA7" s="386">
        <v>1.776896814482477E-5</v>
      </c>
      <c r="AB7" s="391">
        <v>7.782808047433248E-5</v>
      </c>
    </row>
    <row r="8" spans="1:28" x14ac:dyDescent="0.2">
      <c r="A8" s="397" t="s">
        <v>114</v>
      </c>
      <c r="B8" s="618" t="s">
        <v>265</v>
      </c>
      <c r="C8" s="390">
        <f>'Combustion (Proposed)'!L13</f>
        <v>9.0353915931573885E-9</v>
      </c>
      <c r="D8" s="385">
        <f>'Combustion (Proposed)'!M13</f>
        <v>3.9575015178029355E-8</v>
      </c>
      <c r="E8" s="385">
        <f>'Combustion (Proposed)'!N13</f>
        <v>3.9575015178029355E-8</v>
      </c>
      <c r="F8" s="385">
        <f>'Combustion (Proposed)'!O78</f>
        <v>3.7064500000000001E-8</v>
      </c>
      <c r="G8" s="385">
        <f>'Combustion (Proposed)'!P78</f>
        <v>1.6234250999999998E-7</v>
      </c>
      <c r="H8" s="385">
        <f>'Combustion (Proposed)'!Q78</f>
        <v>1.6234250999999998E-7</v>
      </c>
      <c r="I8" s="385">
        <f>'Combustion (Proposed)'!O146</f>
        <v>2.0661666666666669E-7</v>
      </c>
      <c r="J8" s="385">
        <f>'Combustion (Proposed)'!P146</f>
        <v>9.0498100000000013E-7</v>
      </c>
      <c r="K8" s="385">
        <f>'Combustion (Proposed)'!Q146</f>
        <v>9.0498100000000013E-7</v>
      </c>
      <c r="L8" s="386">
        <f t="shared" ref="L8:N45" si="0">SUM(C8,F8,I8)</f>
        <v>2.5271655825982408E-7</v>
      </c>
      <c r="M8" s="386">
        <f t="shared" si="0"/>
        <v>1.1068985251780294E-6</v>
      </c>
      <c r="N8" s="391">
        <f t="shared" si="0"/>
        <v>1.1068985251780294E-6</v>
      </c>
      <c r="O8" s="616"/>
      <c r="Q8" s="397" t="s">
        <v>114</v>
      </c>
      <c r="R8" s="398" t="s">
        <v>265</v>
      </c>
      <c r="S8" s="390">
        <v>1.0133272600190053E-7</v>
      </c>
      <c r="T8" s="385">
        <v>4.4383733988832429E-7</v>
      </c>
      <c r="U8" s="385">
        <v>9.9345809805784839E-9</v>
      </c>
      <c r="V8" s="385">
        <v>4.3513464694933758E-8</v>
      </c>
      <c r="W8" s="385">
        <v>3.4929986727713942E-8</v>
      </c>
      <c r="X8" s="385">
        <v>1.5299334186738709E-7</v>
      </c>
      <c r="Y8" s="385">
        <v>6.6861897789364671E-8</v>
      </c>
      <c r="Z8" s="385">
        <v>2.9285511231741728E-7</v>
      </c>
      <c r="AA8" s="386">
        <v>2.1305919149955762E-7</v>
      </c>
      <c r="AB8" s="391">
        <v>9.3319925876806245E-7</v>
      </c>
    </row>
    <row r="9" spans="1:28" ht="13.5" thickBot="1" x14ac:dyDescent="0.25">
      <c r="A9" s="397" t="s">
        <v>115</v>
      </c>
      <c r="B9" s="619" t="s">
        <v>266</v>
      </c>
      <c r="C9" s="390">
        <f>'Combustion (Proposed)'!L14</f>
        <v>4.3569872504553417E-8</v>
      </c>
      <c r="D9" s="385">
        <f>'Combustion (Proposed)'!M14</f>
        <v>1.9083604156994398E-7</v>
      </c>
      <c r="E9" s="385">
        <f>'Combustion (Proposed)'!N14</f>
        <v>1.9083604156994398E-7</v>
      </c>
      <c r="F9" s="385">
        <f>'Combustion (Proposed)'!O79</f>
        <v>1.7872999999999999E-7</v>
      </c>
      <c r="G9" s="385">
        <f>'Combustion (Proposed)'!P79</f>
        <v>7.8283739999999987E-7</v>
      </c>
      <c r="H9" s="385">
        <f>'Combustion (Proposed)'!Q79</f>
        <v>7.8283739999999987E-7</v>
      </c>
      <c r="I9" s="385">
        <f>'Combustion (Proposed)'!O147</f>
        <v>9.9633333333333351E-7</v>
      </c>
      <c r="J9" s="385">
        <f>'Combustion (Proposed)'!P147</f>
        <v>4.3639400000000009E-6</v>
      </c>
      <c r="K9" s="385">
        <f>'Combustion (Proposed)'!Q147</f>
        <v>4.3639400000000009E-6</v>
      </c>
      <c r="L9" s="386">
        <f t="shared" si="0"/>
        <v>1.2186332058378868E-6</v>
      </c>
      <c r="M9" s="386">
        <f t="shared" si="0"/>
        <v>5.3376134415699451E-6</v>
      </c>
      <c r="N9" s="391">
        <f t="shared" si="0"/>
        <v>5.3376134415699451E-6</v>
      </c>
      <c r="O9" s="616"/>
      <c r="Q9" s="402" t="s">
        <v>115</v>
      </c>
      <c r="R9" s="411" t="s">
        <v>266</v>
      </c>
      <c r="S9" s="392">
        <v>4.8864002261786023E-7</v>
      </c>
      <c r="T9" s="393">
        <v>2.1402432990662281E-6</v>
      </c>
      <c r="U9" s="393">
        <v>4.7905884570378462E-8</v>
      </c>
      <c r="V9" s="393">
        <v>2.0982777441825766E-7</v>
      </c>
      <c r="W9" s="393">
        <v>1.6843709014945065E-7</v>
      </c>
      <c r="X9" s="393">
        <v>7.3775445485459389E-7</v>
      </c>
      <c r="Y9" s="393">
        <v>3.2241705653369525E-7</v>
      </c>
      <c r="Z9" s="393">
        <v>1.4121867076175852E-6</v>
      </c>
      <c r="AA9" s="394">
        <v>1.0274000538713845E-6</v>
      </c>
      <c r="AB9" s="395">
        <v>4.500012235956665E-6</v>
      </c>
    </row>
    <row r="10" spans="1:28" x14ac:dyDescent="0.2">
      <c r="A10" s="397" t="s">
        <v>160</v>
      </c>
      <c r="B10" s="619" t="s">
        <v>267</v>
      </c>
      <c r="C10" s="390">
        <f>'Combustion (Proposed)'!L15</f>
        <v>1.4320917110103211E-7</v>
      </c>
      <c r="D10" s="385">
        <f>'Combustion (Proposed)'!M15</f>
        <v>6.2725616942252073E-7</v>
      </c>
      <c r="E10" s="385">
        <f>'Combustion (Proposed)'!N15</f>
        <v>6.2725616942252073E-7</v>
      </c>
      <c r="F10" s="385">
        <f>'Combustion (Proposed)'!O80</f>
        <v>5.8746499999999997E-7</v>
      </c>
      <c r="G10" s="385">
        <f>'Combustion (Proposed)'!P80</f>
        <v>2.5730966999999999E-6</v>
      </c>
      <c r="H10" s="385">
        <f>'Combustion (Proposed)'!Q80</f>
        <v>2.5730966999999999E-6</v>
      </c>
      <c r="I10" s="385">
        <f>'Combustion (Proposed)'!O148</f>
        <v>3.2748333333333334E-6</v>
      </c>
      <c r="J10" s="385">
        <f>'Combustion (Proposed)'!P148</f>
        <v>1.4343770000000001E-5</v>
      </c>
      <c r="K10" s="385">
        <f>'Combustion (Proposed)'!Q148</f>
        <v>1.4343770000000001E-5</v>
      </c>
      <c r="L10" s="386">
        <f t="shared" si="0"/>
        <v>4.0055075044343654E-6</v>
      </c>
      <c r="M10" s="386">
        <f t="shared" si="0"/>
        <v>1.7544122869422522E-5</v>
      </c>
      <c r="N10" s="391">
        <f t="shared" si="0"/>
        <v>1.7544122869422522E-5</v>
      </c>
      <c r="O10" s="616"/>
      <c r="P10">
        <v>2</v>
      </c>
      <c r="Q10" s="405" t="s">
        <v>116</v>
      </c>
      <c r="R10" s="406" t="s">
        <v>267</v>
      </c>
      <c r="S10" s="407">
        <v>1.6061036808996881E-6</v>
      </c>
      <c r="T10" s="408">
        <v>7.0347341223406339E-6</v>
      </c>
      <c r="U10" s="408">
        <v>1.5746114518624394E-7</v>
      </c>
      <c r="V10" s="408">
        <v>6.8967981591574848E-7</v>
      </c>
      <c r="W10" s="408">
        <v>5.5363338647483361E-7</v>
      </c>
      <c r="X10" s="408">
        <v>2.4249142327597714E-6</v>
      </c>
      <c r="Y10" s="408">
        <v>1.0597478661476376E-6</v>
      </c>
      <c r="Z10" s="408">
        <v>4.6416956537266528E-6</v>
      </c>
      <c r="AA10" s="409">
        <v>3.3769460787084036E-6</v>
      </c>
      <c r="AB10" s="410">
        <v>1.4791023824742805E-5</v>
      </c>
    </row>
    <row r="11" spans="1:28" x14ac:dyDescent="0.2">
      <c r="A11" s="397" t="s">
        <v>117</v>
      </c>
      <c r="B11" s="619" t="s">
        <v>268</v>
      </c>
      <c r="C11" s="390">
        <f>'Combustion (Proposed)'!L16</f>
        <v>1.0294117647058823E-5</v>
      </c>
      <c r="D11" s="385">
        <f>'Combustion (Proposed)'!M16</f>
        <v>4.5088235294117644E-5</v>
      </c>
      <c r="E11" s="385">
        <f>'Combustion (Proposed)'!N16</f>
        <v>4.5088235294117644E-5</v>
      </c>
      <c r="F11" s="385">
        <f>'Combustion (Proposed)'!O81</f>
        <v>3.6194117647058815E-5</v>
      </c>
      <c r="G11" s="385">
        <f>'Combustion (Proposed)'!P81</f>
        <v>1.5853023529411762E-4</v>
      </c>
      <c r="H11" s="385">
        <f>'Combustion (Proposed)'!Q81</f>
        <v>1.5853023529411762E-4</v>
      </c>
      <c r="I11" s="385">
        <f>'Combustion (Proposed)'!O149</f>
        <v>2.0176470588235295E-4</v>
      </c>
      <c r="J11" s="385">
        <f>'Combustion (Proposed)'!P149</f>
        <v>8.8372941176470586E-4</v>
      </c>
      <c r="K11" s="385">
        <f>'Combustion (Proposed)'!Q149</f>
        <v>8.8372941176470586E-4</v>
      </c>
      <c r="L11" s="386">
        <f t="shared" si="0"/>
        <v>2.482529411764706E-4</v>
      </c>
      <c r="M11" s="386">
        <f t="shared" si="0"/>
        <v>1.0873478823529412E-3</v>
      </c>
      <c r="N11" s="391">
        <f t="shared" si="0"/>
        <v>1.0873478823529412E-3</v>
      </c>
      <c r="O11" s="616"/>
      <c r="Q11" s="397" t="s">
        <v>117</v>
      </c>
      <c r="R11" s="399" t="s">
        <v>268</v>
      </c>
      <c r="S11" s="390">
        <v>1.05E-4</v>
      </c>
      <c r="T11" s="385">
        <v>4.5990000000000001E-4</v>
      </c>
      <c r="U11" s="385">
        <v>1.0294117647058823E-5</v>
      </c>
      <c r="V11" s="385">
        <v>4.5088235294117644E-5</v>
      </c>
      <c r="W11" s="385">
        <v>3.6194117647058815E-5</v>
      </c>
      <c r="X11" s="385">
        <v>1.5853023529411762E-4</v>
      </c>
      <c r="Y11" s="385">
        <v>7.6176470588235301E-5</v>
      </c>
      <c r="Z11" s="385">
        <v>3.3365294117647062E-4</v>
      </c>
      <c r="AA11" s="386">
        <v>2.2766470588235296E-4</v>
      </c>
      <c r="AB11" s="391">
        <v>9.9717141176470592E-4</v>
      </c>
    </row>
    <row r="12" spans="1:28" ht="13.5" thickBot="1" x14ac:dyDescent="0.25">
      <c r="A12" s="400" t="s">
        <v>118</v>
      </c>
      <c r="B12" s="619" t="s">
        <v>269</v>
      </c>
      <c r="C12" s="390">
        <f>'Combustion (Proposed)'!L17</f>
        <v>5.8823529411764704E-9</v>
      </c>
      <c r="D12" s="385">
        <f>'Combustion (Proposed)'!M17</f>
        <v>2.5764705882352942E-8</v>
      </c>
      <c r="E12" s="385">
        <f>'Combustion (Proposed)'!N17</f>
        <v>2.5764705882352942E-8</v>
      </c>
      <c r="F12" s="385">
        <f>'Combustion (Proposed)'!O82</f>
        <v>2.0682352941176466E-8</v>
      </c>
      <c r="G12" s="385">
        <f>'Combustion (Proposed)'!P82</f>
        <v>9.0588705882352931E-8</v>
      </c>
      <c r="H12" s="385">
        <f>'Combustion (Proposed)'!Q82</f>
        <v>9.0588705882352931E-8</v>
      </c>
      <c r="I12" s="385">
        <f>'Combustion (Proposed)'!O150</f>
        <v>1.1529411764705883E-7</v>
      </c>
      <c r="J12" s="385">
        <f>'Combustion (Proposed)'!P150</f>
        <v>5.0498823529411771E-7</v>
      </c>
      <c r="K12" s="385">
        <f>'Combustion (Proposed)'!Q150</f>
        <v>5.0498823529411771E-7</v>
      </c>
      <c r="L12" s="386">
        <f t="shared" si="0"/>
        <v>1.4185882352941176E-7</v>
      </c>
      <c r="M12" s="386">
        <f t="shared" si="0"/>
        <v>6.2134164705882355E-7</v>
      </c>
      <c r="N12" s="391">
        <f t="shared" si="0"/>
        <v>6.2134164705882355E-7</v>
      </c>
      <c r="O12" s="616"/>
      <c r="Q12" s="413" t="s">
        <v>118</v>
      </c>
      <c r="R12" s="411" t="s">
        <v>269</v>
      </c>
      <c r="S12" s="392">
        <v>5.9999999999999995E-8</v>
      </c>
      <c r="T12" s="393">
        <v>2.628E-7</v>
      </c>
      <c r="U12" s="393">
        <v>5.8823529411764704E-9</v>
      </c>
      <c r="V12" s="393">
        <v>2.5764705882352942E-8</v>
      </c>
      <c r="W12" s="393">
        <v>2.0682352941176466E-8</v>
      </c>
      <c r="X12" s="393">
        <v>9.0588705882352931E-8</v>
      </c>
      <c r="Y12" s="393">
        <v>4.3529411764705885E-8</v>
      </c>
      <c r="Z12" s="393">
        <v>1.9065882352941177E-7</v>
      </c>
      <c r="AA12" s="394">
        <v>1.3009411764705882E-7</v>
      </c>
      <c r="AB12" s="395">
        <v>5.6981223529411763E-7</v>
      </c>
    </row>
    <row r="13" spans="1:28" x14ac:dyDescent="0.2">
      <c r="A13" s="397" t="s">
        <v>119</v>
      </c>
      <c r="B13" s="619" t="s">
        <v>270</v>
      </c>
      <c r="C13" s="390">
        <f>'Combustion (Proposed)'!L18</f>
        <v>5.2855255169458243E-8</v>
      </c>
      <c r="D13" s="385">
        <f>'Combustion (Proposed)'!M18</f>
        <v>2.3150601764222709E-7</v>
      </c>
      <c r="E13" s="385">
        <f>'Combustion (Proposed)'!N18</f>
        <v>2.3150601764222709E-7</v>
      </c>
      <c r="F13" s="385">
        <f>'Combustion (Proposed)'!O83</f>
        <v>2.1681999999999998E-7</v>
      </c>
      <c r="G13" s="385">
        <f>'Combustion (Proposed)'!P83</f>
        <v>9.4967159999999988E-7</v>
      </c>
      <c r="H13" s="385">
        <f>'Combustion (Proposed)'!Q83</f>
        <v>9.4967159999999988E-7</v>
      </c>
      <c r="I13" s="385">
        <f>'Combustion (Proposed)'!O151</f>
        <v>1.2086666666666668E-6</v>
      </c>
      <c r="J13" s="385">
        <f>'Combustion (Proposed)'!P151</f>
        <v>5.2939600000000002E-6</v>
      </c>
      <c r="K13" s="385">
        <f>'Combustion (Proposed)'!Q151</f>
        <v>5.2939600000000002E-6</v>
      </c>
      <c r="L13" s="386">
        <f t="shared" si="0"/>
        <v>1.4783419218361251E-6</v>
      </c>
      <c r="M13" s="386">
        <f t="shared" si="0"/>
        <v>6.4751376176422268E-6</v>
      </c>
      <c r="N13" s="391">
        <f t="shared" si="0"/>
        <v>6.4751376176422268E-6</v>
      </c>
      <c r="O13" s="616"/>
      <c r="P13">
        <v>3</v>
      </c>
      <c r="Q13" s="412" t="s">
        <v>119</v>
      </c>
      <c r="R13" s="406" t="s">
        <v>270</v>
      </c>
      <c r="S13" s="407">
        <v>5.9277642088068289E-7</v>
      </c>
      <c r="T13" s="408">
        <v>2.5963607234573912E-6</v>
      </c>
      <c r="U13" s="408">
        <v>5.8115335380459114E-8</v>
      </c>
      <c r="V13" s="408">
        <v>2.5454516896641092E-7</v>
      </c>
      <c r="W13" s="408">
        <v>2.0433351919769422E-7</v>
      </c>
      <c r="X13" s="408">
        <v>8.9498081408590065E-7</v>
      </c>
      <c r="Y13" s="408">
        <v>3.9112888825399095E-7</v>
      </c>
      <c r="Z13" s="408">
        <v>1.7131445305524803E-6</v>
      </c>
      <c r="AA13" s="409">
        <v>1.2463541637128272E-6</v>
      </c>
      <c r="AB13" s="410">
        <v>5.4590312370621835E-6</v>
      </c>
    </row>
    <row r="14" spans="1:28" x14ac:dyDescent="0.2">
      <c r="A14" s="397" t="s">
        <v>120</v>
      </c>
      <c r="B14" s="618" t="s">
        <v>271</v>
      </c>
      <c r="C14" s="390">
        <f>'Combustion (Proposed)'!L19</f>
        <v>8.0711403164172727E-8</v>
      </c>
      <c r="D14" s="385">
        <f>'Combustion (Proposed)'!M19</f>
        <v>3.5351594585907655E-7</v>
      </c>
      <c r="E14" s="385">
        <f>'Combustion (Proposed)'!N19</f>
        <v>3.5351594585907655E-7</v>
      </c>
      <c r="F14" s="385">
        <f>'Combustion (Proposed)'!O84</f>
        <v>3.3108999999999998E-7</v>
      </c>
      <c r="G14" s="385">
        <f>'Combustion (Proposed)'!P84</f>
        <v>1.4501741999999999E-6</v>
      </c>
      <c r="H14" s="385">
        <f>'Combustion (Proposed)'!Q84</f>
        <v>1.4501741999999999E-6</v>
      </c>
      <c r="I14" s="385">
        <f>'Combustion (Proposed)'!O152</f>
        <v>1.8456666666666668E-6</v>
      </c>
      <c r="J14" s="385">
        <f>'Combustion (Proposed)'!P152</f>
        <v>8.0840200000000006E-6</v>
      </c>
      <c r="K14" s="385">
        <f>'Combustion (Proposed)'!Q152</f>
        <v>8.0840200000000006E-6</v>
      </c>
      <c r="L14" s="386">
        <f t="shared" si="0"/>
        <v>2.2574680698308395E-6</v>
      </c>
      <c r="M14" s="386">
        <f t="shared" si="0"/>
        <v>9.8877101458590778E-6</v>
      </c>
      <c r="N14" s="391">
        <f t="shared" si="0"/>
        <v>9.8877101458590778E-6</v>
      </c>
      <c r="O14" s="616"/>
      <c r="Q14" s="397" t="s">
        <v>120</v>
      </c>
      <c r="R14" s="398" t="s">
        <v>271</v>
      </c>
      <c r="S14" s="390">
        <v>9.05185615669151E-7</v>
      </c>
      <c r="T14" s="385">
        <v>3.9647129966308816E-6</v>
      </c>
      <c r="U14" s="385">
        <v>8.8743687810701077E-8</v>
      </c>
      <c r="V14" s="385">
        <v>3.8869735261087069E-7</v>
      </c>
      <c r="W14" s="385">
        <v>3.1202280634242501E-7</v>
      </c>
      <c r="X14" s="385">
        <v>1.3666598917798214E-6</v>
      </c>
      <c r="Y14" s="385">
        <v>5.9726438341487807E-7</v>
      </c>
      <c r="Z14" s="385">
        <v>2.616017999357166E-6</v>
      </c>
      <c r="AA14" s="386">
        <v>1.9032164932371551E-6</v>
      </c>
      <c r="AB14" s="391">
        <v>8.33608824037874E-6</v>
      </c>
    </row>
    <row r="15" spans="1:28" ht="13.5" thickBot="1" x14ac:dyDescent="0.25">
      <c r="A15" s="397" t="s">
        <v>121</v>
      </c>
      <c r="B15" s="618" t="s">
        <v>272</v>
      </c>
      <c r="C15" s="390">
        <f>'Combustion (Proposed)'!L20</f>
        <v>5.2855255169458243E-8</v>
      </c>
      <c r="D15" s="385">
        <f>'Combustion (Proposed)'!M20</f>
        <v>2.3150601764222709E-7</v>
      </c>
      <c r="E15" s="385">
        <f>'Combustion (Proposed)'!N20</f>
        <v>2.3150601764222709E-7</v>
      </c>
      <c r="F15" s="385">
        <f>'Combustion (Proposed)'!O85</f>
        <v>2.1681999999999998E-7</v>
      </c>
      <c r="G15" s="385">
        <f>'Combustion (Proposed)'!P85</f>
        <v>9.4967159999999988E-7</v>
      </c>
      <c r="H15" s="385">
        <f>'Combustion (Proposed)'!Q85</f>
        <v>9.4967159999999988E-7</v>
      </c>
      <c r="I15" s="385">
        <f>'Combustion (Proposed)'!O153</f>
        <v>1.2086666666666668E-6</v>
      </c>
      <c r="J15" s="385">
        <f>'Combustion (Proposed)'!P153</f>
        <v>5.2939600000000002E-6</v>
      </c>
      <c r="K15" s="385">
        <f>'Combustion (Proposed)'!Q153</f>
        <v>5.2939600000000002E-6</v>
      </c>
      <c r="L15" s="386">
        <f t="shared" si="0"/>
        <v>1.4783419218361251E-6</v>
      </c>
      <c r="M15" s="386">
        <f t="shared" si="0"/>
        <v>6.4751376176422268E-6</v>
      </c>
      <c r="N15" s="391">
        <f t="shared" si="0"/>
        <v>6.4751376176422268E-6</v>
      </c>
      <c r="O15" s="616"/>
      <c r="Q15" s="402" t="s">
        <v>121</v>
      </c>
      <c r="R15" s="403" t="s">
        <v>272</v>
      </c>
      <c r="S15" s="392">
        <v>5.9277642088068289E-7</v>
      </c>
      <c r="T15" s="393">
        <v>2.5963607234573912E-6</v>
      </c>
      <c r="U15" s="393">
        <v>5.8115335380459114E-8</v>
      </c>
      <c r="V15" s="393">
        <v>2.5454516896641092E-7</v>
      </c>
      <c r="W15" s="393">
        <v>2.0433351919769422E-7</v>
      </c>
      <c r="X15" s="393">
        <v>8.9498081408590065E-7</v>
      </c>
      <c r="Y15" s="393">
        <v>3.9112888825399095E-7</v>
      </c>
      <c r="Z15" s="393">
        <v>1.7131445305524803E-6</v>
      </c>
      <c r="AA15" s="394">
        <v>1.2463541637128272E-6</v>
      </c>
      <c r="AB15" s="395">
        <v>5.4590312370621835E-6</v>
      </c>
    </row>
    <row r="16" spans="1:28" x14ac:dyDescent="0.2">
      <c r="A16" s="397" t="s">
        <v>122</v>
      </c>
      <c r="B16" s="618" t="s">
        <v>273</v>
      </c>
      <c r="C16" s="390">
        <f>'Combustion (Proposed)'!L21</f>
        <v>8.4996964394128803E-8</v>
      </c>
      <c r="D16" s="385">
        <f>'Combustion (Proposed)'!M21</f>
        <v>3.7228670404628417E-7</v>
      </c>
      <c r="E16" s="385">
        <f>'Combustion (Proposed)'!N21</f>
        <v>3.7228670404628417E-7</v>
      </c>
      <c r="F16" s="385">
        <f>'Combustion (Proposed)'!O86</f>
        <v>3.4867000000000001E-7</v>
      </c>
      <c r="G16" s="385">
        <f>'Combustion (Proposed)'!P86</f>
        <v>1.5271746000000002E-6</v>
      </c>
      <c r="H16" s="385">
        <f>'Combustion (Proposed)'!Q86</f>
        <v>1.5271746000000002E-6</v>
      </c>
      <c r="I16" s="385">
        <f>'Combustion (Proposed)'!O154</f>
        <v>1.9436666666666671E-6</v>
      </c>
      <c r="J16" s="385">
        <f>'Combustion (Proposed)'!P154</f>
        <v>8.5132600000000009E-6</v>
      </c>
      <c r="K16" s="385">
        <f>'Combustion (Proposed)'!Q154</f>
        <v>8.5132600000000009E-6</v>
      </c>
      <c r="L16" s="386">
        <f t="shared" si="0"/>
        <v>2.377333631060796E-6</v>
      </c>
      <c r="M16" s="386">
        <f t="shared" si="0"/>
        <v>1.0412721304046285E-5</v>
      </c>
      <c r="N16" s="391">
        <f t="shared" si="0"/>
        <v>1.0412721304046285E-5</v>
      </c>
      <c r="O16" s="616"/>
      <c r="P16">
        <v>4</v>
      </c>
      <c r="Q16" s="412" t="s">
        <v>122</v>
      </c>
      <c r="R16" s="414" t="s">
        <v>273</v>
      </c>
      <c r="S16" s="407">
        <v>9.5324856871353074E-7</v>
      </c>
      <c r="T16" s="408">
        <v>4.1752287309652644E-6</v>
      </c>
      <c r="U16" s="408">
        <v>9.3455742030738313E-8</v>
      </c>
      <c r="V16" s="408">
        <v>4.093361500946338E-7</v>
      </c>
      <c r="W16" s="408">
        <v>3.2859038898007587E-7</v>
      </c>
      <c r="X16" s="408">
        <v>1.4392259037327322E-6</v>
      </c>
      <c r="Y16" s="408">
        <v>6.2897753651655306E-7</v>
      </c>
      <c r="Z16" s="408">
        <v>2.7549216099425025E-6</v>
      </c>
      <c r="AA16" s="409">
        <v>2.004272236240898E-6</v>
      </c>
      <c r="AB16" s="410">
        <v>8.7787123947351316E-6</v>
      </c>
    </row>
    <row r="17" spans="1:28" x14ac:dyDescent="0.2">
      <c r="A17" s="397" t="s">
        <v>123</v>
      </c>
      <c r="B17" s="618" t="s">
        <v>274</v>
      </c>
      <c r="C17" s="390">
        <f>'Combustion (Proposed)'!L22</f>
        <v>5.8823529411764701E-6</v>
      </c>
      <c r="D17" s="385">
        <f>'Combustion (Proposed)'!M22</f>
        <v>2.5764705882352938E-5</v>
      </c>
      <c r="E17" s="385">
        <f>'Combustion (Proposed)'!N22</f>
        <v>2.5764705882352938E-5</v>
      </c>
      <c r="F17" s="385">
        <f>'Combustion (Proposed)'!O87</f>
        <v>2.0682352941176467E-5</v>
      </c>
      <c r="G17" s="385">
        <f>'Combustion (Proposed)'!P87</f>
        <v>9.0588705882352929E-5</v>
      </c>
      <c r="H17" s="385">
        <f>'Combustion (Proposed)'!Q87</f>
        <v>9.0588705882352929E-5</v>
      </c>
      <c r="I17" s="385">
        <f>'Combustion (Proposed)'!O155</f>
        <v>1.1529411764705881E-4</v>
      </c>
      <c r="J17" s="385">
        <f>'Combustion (Proposed)'!P155</f>
        <v>5.0498823529411757E-4</v>
      </c>
      <c r="K17" s="385">
        <f>'Combustion (Proposed)'!Q155</f>
        <v>5.0498823529411757E-4</v>
      </c>
      <c r="L17" s="386">
        <f t="shared" si="0"/>
        <v>1.4185882352941176E-4</v>
      </c>
      <c r="M17" s="386">
        <f t="shared" si="0"/>
        <v>6.2134164705882349E-4</v>
      </c>
      <c r="N17" s="391">
        <f t="shared" si="0"/>
        <v>6.2134164705882349E-4</v>
      </c>
      <c r="O17" s="616"/>
      <c r="Q17" s="397" t="s">
        <v>123</v>
      </c>
      <c r="R17" s="398" t="s">
        <v>274</v>
      </c>
      <c r="S17" s="390">
        <v>5.9999999999999995E-5</v>
      </c>
      <c r="T17" s="385">
        <v>2.6279999999999999E-4</v>
      </c>
      <c r="U17" s="385">
        <v>5.8823529411764701E-6</v>
      </c>
      <c r="V17" s="385">
        <v>2.5764705882352938E-5</v>
      </c>
      <c r="W17" s="385">
        <v>2.0682352941176467E-5</v>
      </c>
      <c r="X17" s="385">
        <v>9.0588705882352929E-5</v>
      </c>
      <c r="Y17" s="385">
        <v>4.3529411764705885E-5</v>
      </c>
      <c r="Z17" s="385">
        <v>1.9065882352941178E-4</v>
      </c>
      <c r="AA17" s="386">
        <v>1.3009411764705882E-4</v>
      </c>
      <c r="AB17" s="391">
        <v>5.6981223529411768E-4</v>
      </c>
    </row>
    <row r="18" spans="1:28" ht="13.5" thickBot="1" x14ac:dyDescent="0.25">
      <c r="A18" s="401" t="s">
        <v>124</v>
      </c>
      <c r="B18" s="618" t="s">
        <v>300</v>
      </c>
      <c r="C18" s="390">
        <f>'Combustion (Proposed)'!L23</f>
        <v>5.8823529411764701E-6</v>
      </c>
      <c r="D18" s="385">
        <f>'Combustion (Proposed)'!M23</f>
        <v>2.5764705882352938E-5</v>
      </c>
      <c r="E18" s="385">
        <f>'Combustion (Proposed)'!N23</f>
        <v>2.5764705882352938E-5</v>
      </c>
      <c r="F18" s="385">
        <f>'Combustion (Proposed)'!O88</f>
        <v>2.0682352941176467E-5</v>
      </c>
      <c r="G18" s="385">
        <f>'Combustion (Proposed)'!P88</f>
        <v>9.0588705882352929E-5</v>
      </c>
      <c r="H18" s="385">
        <f>'Combustion (Proposed)'!Q88</f>
        <v>9.0588705882352929E-5</v>
      </c>
      <c r="I18" s="385">
        <f>'Combustion (Proposed)'!O156</f>
        <v>1.1529411764705881E-4</v>
      </c>
      <c r="J18" s="385">
        <f>'Combustion (Proposed)'!P156</f>
        <v>5.0498823529411757E-4</v>
      </c>
      <c r="K18" s="385">
        <f>'Combustion (Proposed)'!Q156</f>
        <v>5.0498823529411757E-4</v>
      </c>
      <c r="L18" s="386">
        <f t="shared" si="0"/>
        <v>1.4185882352941176E-4</v>
      </c>
      <c r="M18" s="386">
        <f t="shared" si="0"/>
        <v>6.2134164705882349E-4</v>
      </c>
      <c r="N18" s="391">
        <f t="shared" si="0"/>
        <v>6.2134164705882349E-4</v>
      </c>
      <c r="O18" s="616"/>
      <c r="Q18" s="415" t="s">
        <v>124</v>
      </c>
      <c r="R18" s="403" t="s">
        <v>300</v>
      </c>
      <c r="S18" s="392">
        <v>5.9999999999999995E-5</v>
      </c>
      <c r="T18" s="393">
        <v>2.6279999999999999E-4</v>
      </c>
      <c r="U18" s="393">
        <v>5.8823529411764701E-6</v>
      </c>
      <c r="V18" s="393">
        <v>2.5764705882352938E-5</v>
      </c>
      <c r="W18" s="393">
        <v>2.0682352941176467E-5</v>
      </c>
      <c r="X18" s="393">
        <v>9.0588705882352929E-5</v>
      </c>
      <c r="Y18" s="393">
        <v>4.3529411764705885E-5</v>
      </c>
      <c r="Z18" s="393">
        <v>1.9065882352941178E-4</v>
      </c>
      <c r="AA18" s="394">
        <v>1.3009411764705882E-4</v>
      </c>
      <c r="AB18" s="395">
        <v>5.6981223529411768E-4</v>
      </c>
    </row>
    <row r="19" spans="1:28" x14ac:dyDescent="0.2">
      <c r="A19" s="401" t="s">
        <v>214</v>
      </c>
      <c r="B19" s="618" t="s">
        <v>299</v>
      </c>
      <c r="C19" s="390">
        <f>'Combustion (Proposed)'!L24</f>
        <v>7.8431372549019607E-8</v>
      </c>
      <c r="D19" s="385">
        <f>'Combustion (Proposed)'!M24</f>
        <v>3.4352941176470583E-7</v>
      </c>
      <c r="E19" s="385">
        <f>'Combustion (Proposed)'!N24</f>
        <v>3.4352941176470583E-7</v>
      </c>
      <c r="F19" s="385">
        <f>'Combustion (Proposed)'!O89</f>
        <v>2.7576470588235289E-7</v>
      </c>
      <c r="G19" s="385">
        <f>'Combustion (Proposed)'!P89</f>
        <v>1.2078494117647057E-6</v>
      </c>
      <c r="H19" s="385">
        <f>'Combustion (Proposed)'!Q89</f>
        <v>1.2078494117647057E-6</v>
      </c>
      <c r="I19" s="385">
        <f>'Combustion (Proposed)'!O157</f>
        <v>1.5372549019607845E-6</v>
      </c>
      <c r="J19" s="385">
        <f>'Combustion (Proposed)'!P157</f>
        <v>6.7331764705882362E-6</v>
      </c>
      <c r="K19" s="385">
        <f>'Combustion (Proposed)'!Q157</f>
        <v>6.7331764705882362E-6</v>
      </c>
      <c r="L19" s="386">
        <f t="shared" si="0"/>
        <v>1.8914509803921568E-6</v>
      </c>
      <c r="M19" s="386">
        <f t="shared" si="0"/>
        <v>8.2845552941176479E-6</v>
      </c>
      <c r="N19" s="391">
        <f t="shared" si="0"/>
        <v>8.2845552941176479E-6</v>
      </c>
      <c r="O19" s="616"/>
      <c r="P19">
        <v>5</v>
      </c>
      <c r="Q19" s="405" t="s">
        <v>214</v>
      </c>
      <c r="R19" s="414" t="s">
        <v>299</v>
      </c>
      <c r="S19" s="407">
        <v>7.9999999999999996E-7</v>
      </c>
      <c r="T19" s="408">
        <v>3.5039999999999998E-6</v>
      </c>
      <c r="U19" s="408">
        <v>7.8431372549019607E-8</v>
      </c>
      <c r="V19" s="408">
        <v>3.4352941176470583E-7</v>
      </c>
      <c r="W19" s="408">
        <v>2.7576470588235289E-7</v>
      </c>
      <c r="X19" s="408">
        <v>1.2078494117647057E-6</v>
      </c>
      <c r="Y19" s="408">
        <v>5.803921568627451E-7</v>
      </c>
      <c r="Z19" s="408">
        <v>2.5421176470588234E-6</v>
      </c>
      <c r="AA19" s="409">
        <v>1.7345882352941177E-6</v>
      </c>
      <c r="AB19" s="410">
        <v>7.5974964705882345E-6</v>
      </c>
    </row>
    <row r="20" spans="1:28" x14ac:dyDescent="0.2">
      <c r="A20" s="401" t="s">
        <v>125</v>
      </c>
      <c r="B20" s="618" t="s">
        <v>295</v>
      </c>
      <c r="C20" s="390">
        <f>'Combustion (Proposed)'!L25</f>
        <v>2.2713474518767194E-6</v>
      </c>
      <c r="D20" s="385">
        <f>'Combustion (Proposed)'!M25</f>
        <v>9.9485018392200313E-6</v>
      </c>
      <c r="E20" s="385">
        <f>'Combustion (Proposed)'!N25</f>
        <v>9.9485018392200313E-6</v>
      </c>
      <c r="F20" s="385">
        <f>'Combustion (Proposed)'!O90</f>
        <v>9.3173999999999999E-6</v>
      </c>
      <c r="G20" s="385">
        <f>'Combustion (Proposed)'!P90</f>
        <v>4.0810211999999997E-5</v>
      </c>
      <c r="H20" s="385">
        <f>'Combustion (Proposed)'!Q90</f>
        <v>4.0810211999999997E-5</v>
      </c>
      <c r="I20" s="385">
        <f>'Combustion (Proposed)'!O158</f>
        <v>5.1940000000000008E-5</v>
      </c>
      <c r="J20" s="385">
        <f>'Combustion (Proposed)'!P158</f>
        <v>2.2749720000000005E-4</v>
      </c>
      <c r="K20" s="385">
        <f>'Combustion (Proposed)'!Q158</f>
        <v>2.2749720000000005E-4</v>
      </c>
      <c r="L20" s="386">
        <f t="shared" si="0"/>
        <v>6.3528747451876725E-5</v>
      </c>
      <c r="M20" s="386">
        <f t="shared" si="0"/>
        <v>2.7825591383922005E-4</v>
      </c>
      <c r="N20" s="391">
        <f t="shared" si="0"/>
        <v>2.7825591383922005E-4</v>
      </c>
      <c r="O20" s="616"/>
      <c r="Q20" s="401" t="s">
        <v>125</v>
      </c>
      <c r="R20" s="398" t="s">
        <v>295</v>
      </c>
      <c r="S20" s="390">
        <v>2.5473365113521239E-5</v>
      </c>
      <c r="T20" s="385">
        <v>1.1157333919722303E-4</v>
      </c>
      <c r="U20" s="385">
        <v>2.4973887366197298E-6</v>
      </c>
      <c r="V20" s="385">
        <v>1.0938562666394416E-5</v>
      </c>
      <c r="W20" s="385">
        <v>8.7808187979549688E-6</v>
      </c>
      <c r="X20" s="385">
        <v>3.8459986335042767E-5</v>
      </c>
      <c r="Y20" s="385">
        <v>1.6807971143887719E-5</v>
      </c>
      <c r="Z20" s="385">
        <v>7.3618913610228214E-5</v>
      </c>
      <c r="AA20" s="386">
        <v>5.3559543791983658E-5</v>
      </c>
      <c r="AB20" s="391">
        <v>2.345908018088884E-4</v>
      </c>
    </row>
    <row r="21" spans="1:28" ht="13.5" thickBot="1" x14ac:dyDescent="0.25">
      <c r="A21" s="397" t="s">
        <v>126</v>
      </c>
      <c r="B21" s="618" t="s">
        <v>275</v>
      </c>
      <c r="C21" s="390">
        <f>'Combustion (Proposed)'!L26</f>
        <v>1.7285096960822832E-7</v>
      </c>
      <c r="D21" s="385">
        <f>'Combustion (Proposed)'!M26</f>
        <v>7.5708724688404006E-7</v>
      </c>
      <c r="E21" s="385">
        <f>'Combustion (Proposed)'!N26</f>
        <v>7.5708724688404006E-7</v>
      </c>
      <c r="F21" s="385">
        <f>'Combustion (Proposed)'!O91</f>
        <v>7.0905999999999997E-7</v>
      </c>
      <c r="G21" s="385">
        <f>'Combustion (Proposed)'!P91</f>
        <v>3.1056828E-6</v>
      </c>
      <c r="H21" s="385">
        <f>'Combustion (Proposed)'!Q91</f>
        <v>3.1056828E-6</v>
      </c>
      <c r="I21" s="385">
        <f>'Combustion (Proposed)'!O159</f>
        <v>3.9526666666666677E-6</v>
      </c>
      <c r="J21" s="385">
        <f>'Combustion (Proposed)'!P159</f>
        <v>1.7312680000000003E-5</v>
      </c>
      <c r="K21" s="385">
        <f>'Combustion (Proposed)'!Q159</f>
        <v>1.7312680000000003E-5</v>
      </c>
      <c r="L21" s="386">
        <f t="shared" si="0"/>
        <v>4.8345776362748961E-6</v>
      </c>
      <c r="M21" s="386">
        <f t="shared" si="0"/>
        <v>2.1175450046884043E-5</v>
      </c>
      <c r="N21" s="391">
        <f t="shared" si="0"/>
        <v>2.1175450046884043E-5</v>
      </c>
      <c r="O21" s="616"/>
      <c r="Q21" s="402" t="s">
        <v>126</v>
      </c>
      <c r="R21" s="403" t="s">
        <v>275</v>
      </c>
      <c r="S21" s="392">
        <v>1.9385391061233144E-6</v>
      </c>
      <c r="T21" s="393">
        <v>8.4908012848201169E-6</v>
      </c>
      <c r="U21" s="393">
        <v>1.9005285354150145E-7</v>
      </c>
      <c r="V21" s="393">
        <v>8.3243149851177633E-7</v>
      </c>
      <c r="W21" s="393">
        <v>6.6822583305191901E-7</v>
      </c>
      <c r="X21" s="393">
        <v>2.9268291487674054E-6</v>
      </c>
      <c r="Y21" s="393">
        <v>1.2790971751008894E-6</v>
      </c>
      <c r="Z21" s="393">
        <v>5.6024456269418965E-6</v>
      </c>
      <c r="AA21" s="394">
        <v>4.075914967817624E-6</v>
      </c>
      <c r="AB21" s="395">
        <v>1.7852507559041194E-5</v>
      </c>
    </row>
    <row r="22" spans="1:28" x14ac:dyDescent="0.2">
      <c r="A22" s="397" t="s">
        <v>127</v>
      </c>
      <c r="B22" s="618" t="s">
        <v>276</v>
      </c>
      <c r="C22" s="390">
        <f>'Combustion (Proposed)'!L27</f>
        <v>1.5963715581586377E-7</v>
      </c>
      <c r="D22" s="385">
        <f>'Combustion (Proposed)'!M27</f>
        <v>6.9921074247348328E-7</v>
      </c>
      <c r="E22" s="385">
        <f>'Combustion (Proposed)'!N27</f>
        <v>6.9921074247348328E-7</v>
      </c>
      <c r="F22" s="385">
        <f>'Combustion (Proposed)'!O92</f>
        <v>6.54855E-7</v>
      </c>
      <c r="G22" s="385">
        <f>'Combustion (Proposed)'!P92</f>
        <v>2.8682648999999999E-6</v>
      </c>
      <c r="H22" s="385">
        <f>'Combustion (Proposed)'!Q92</f>
        <v>2.8682648999999999E-6</v>
      </c>
      <c r="I22" s="385">
        <f>'Combustion (Proposed)'!O160</f>
        <v>3.6505000000000009E-6</v>
      </c>
      <c r="J22" s="385">
        <f>'Combustion (Proposed)'!P160</f>
        <v>1.5989190000000005E-5</v>
      </c>
      <c r="K22" s="385">
        <f>'Combustion (Proposed)'!Q160</f>
        <v>1.5989190000000005E-5</v>
      </c>
      <c r="L22" s="386">
        <f t="shared" si="0"/>
        <v>4.4649921558158647E-6</v>
      </c>
      <c r="M22" s="386">
        <f t="shared" si="0"/>
        <v>1.9556665642473487E-5</v>
      </c>
      <c r="N22" s="391">
        <f t="shared" si="0"/>
        <v>1.9556665642473487E-5</v>
      </c>
      <c r="O22" s="616"/>
      <c r="P22">
        <v>6</v>
      </c>
      <c r="Q22" s="412" t="s">
        <v>127</v>
      </c>
      <c r="R22" s="414" t="s">
        <v>276</v>
      </c>
      <c r="S22" s="407">
        <v>1.7903450009031438E-6</v>
      </c>
      <c r="T22" s="408">
        <v>7.8417111039557708E-6</v>
      </c>
      <c r="U22" s="408">
        <v>1.7552401969638668E-7</v>
      </c>
      <c r="V22" s="408">
        <v>7.6879520627017368E-7</v>
      </c>
      <c r="W22" s="408">
        <v>6.1714245325249548E-7</v>
      </c>
      <c r="X22" s="408">
        <v>2.7030839452459302E-6</v>
      </c>
      <c r="Y22" s="408">
        <v>1.1813149530373918E-6</v>
      </c>
      <c r="Z22" s="408">
        <v>5.1741594943037758E-6</v>
      </c>
      <c r="AA22" s="409">
        <v>3.7643264268894177E-6</v>
      </c>
      <c r="AB22" s="410">
        <v>1.6487749749775651E-5</v>
      </c>
    </row>
    <row r="23" spans="1:28" x14ac:dyDescent="0.2">
      <c r="A23" s="397" t="s">
        <v>128</v>
      </c>
      <c r="B23" s="618" t="s">
        <v>277</v>
      </c>
      <c r="C23" s="390">
        <f>'Combustion (Proposed)'!L28</f>
        <v>1.1785293382379203E-3</v>
      </c>
      <c r="D23" s="385">
        <f>'Combustion (Proposed)'!M28</f>
        <v>5.1619585014820906E-3</v>
      </c>
      <c r="E23" s="385">
        <f>'Combustion (Proposed)'!N28</f>
        <v>5.1619585014820906E-3</v>
      </c>
      <c r="F23" s="385">
        <f>'Combustion (Proposed)'!O93</f>
        <v>4.1437091532445271E-3</v>
      </c>
      <c r="G23" s="385">
        <f>'Combustion (Proposed)'!P93</f>
        <v>1.8149446091211028E-2</v>
      </c>
      <c r="H23" s="385">
        <f>'Combustion (Proposed)'!Q93</f>
        <v>1.8149446091211028E-2</v>
      </c>
      <c r="I23" s="385">
        <f>'Combustion (Proposed)'!O161</f>
        <v>2.3099175029463234E-2</v>
      </c>
      <c r="J23" s="385">
        <f>'Combustion (Proposed)'!P161</f>
        <v>0.10117438662904897</v>
      </c>
      <c r="K23" s="385">
        <f>'Combustion (Proposed)'!Q161</f>
        <v>0.10117438662904897</v>
      </c>
      <c r="L23" s="386">
        <f t="shared" si="0"/>
        <v>2.8421413520945682E-2</v>
      </c>
      <c r="M23" s="386">
        <f t="shared" si="0"/>
        <v>0.12448579122174208</v>
      </c>
      <c r="N23" s="391">
        <f t="shared" si="0"/>
        <v>0.12448579122174208</v>
      </c>
      <c r="O23" s="616"/>
      <c r="Q23" s="397" t="s">
        <v>128</v>
      </c>
      <c r="R23" s="398" t="s">
        <v>277</v>
      </c>
      <c r="S23" s="390">
        <v>1.3217312087204417E-2</v>
      </c>
      <c r="T23" s="385">
        <v>5.7891826941955354E-2</v>
      </c>
      <c r="U23" s="385">
        <v>1.295814910510237E-3</v>
      </c>
      <c r="V23" s="385">
        <v>5.6756693080348385E-3</v>
      </c>
      <c r="W23" s="385">
        <v>4.5560852253539929E-3</v>
      </c>
      <c r="X23" s="385">
        <v>1.9955653287050488E-2</v>
      </c>
      <c r="Y23" s="385">
        <v>8.7211171029606092E-3</v>
      </c>
      <c r="Z23" s="385">
        <v>3.8198492910967469E-2</v>
      </c>
      <c r="AA23" s="386">
        <v>2.7790329326029258E-2</v>
      </c>
      <c r="AB23" s="391">
        <v>0.12172164244800815</v>
      </c>
    </row>
    <row r="24" spans="1:28" ht="13.5" thickBot="1" x14ac:dyDescent="0.25">
      <c r="A24" s="397" t="s">
        <v>129</v>
      </c>
      <c r="B24" s="618" t="s">
        <v>278</v>
      </c>
      <c r="C24" s="390">
        <f>'Combustion (Proposed)'!L29</f>
        <v>8.8235294117647058E-3</v>
      </c>
      <c r="D24" s="385">
        <f>'Combustion (Proposed)'!M29</f>
        <v>3.8647058823529416E-2</v>
      </c>
      <c r="E24" s="385">
        <f>'Combustion (Proposed)'!N29</f>
        <v>3.8647058823529416E-2</v>
      </c>
      <c r="F24" s="385">
        <f>'Combustion (Proposed)'!O94</f>
        <v>3.1023529411764703E-2</v>
      </c>
      <c r="G24" s="385">
        <f>'Combustion (Proposed)'!P94</f>
        <v>0.13588305882352941</v>
      </c>
      <c r="H24" s="385">
        <f>'Combustion (Proposed)'!Q94</f>
        <v>0.13588305882352941</v>
      </c>
      <c r="I24" s="385">
        <f>'Combustion (Proposed)'!O162</f>
        <v>0.17294117647058824</v>
      </c>
      <c r="J24" s="385">
        <f>'Combustion (Proposed)'!P162</f>
        <v>0.7574823529411765</v>
      </c>
      <c r="K24" s="385">
        <f>'Combustion (Proposed)'!Q162</f>
        <v>0.7574823529411765</v>
      </c>
      <c r="L24" s="386">
        <f t="shared" si="0"/>
        <v>0.21278823529411764</v>
      </c>
      <c r="M24" s="386">
        <f t="shared" si="0"/>
        <v>0.93201247058823533</v>
      </c>
      <c r="N24" s="391">
        <f t="shared" si="0"/>
        <v>0.93201247058823533</v>
      </c>
      <c r="O24" s="616"/>
      <c r="Q24" s="402" t="s">
        <v>129</v>
      </c>
      <c r="R24" s="403" t="s">
        <v>278</v>
      </c>
      <c r="S24" s="392">
        <v>9.0000000000000011E-2</v>
      </c>
      <c r="T24" s="393">
        <v>0.39420000000000005</v>
      </c>
      <c r="U24" s="393">
        <v>8.8235294117647058E-3</v>
      </c>
      <c r="V24" s="393">
        <v>3.8647058823529416E-2</v>
      </c>
      <c r="W24" s="393">
        <v>3.1023529411764703E-2</v>
      </c>
      <c r="X24" s="393">
        <v>0.13588305882352941</v>
      </c>
      <c r="Y24" s="393">
        <v>6.5294117647058836E-2</v>
      </c>
      <c r="Z24" s="393">
        <v>0.28598823529411771</v>
      </c>
      <c r="AA24" s="394">
        <v>0.19514117647058826</v>
      </c>
      <c r="AB24" s="395">
        <v>0.8547183529411766</v>
      </c>
    </row>
    <row r="25" spans="1:28" x14ac:dyDescent="0.2">
      <c r="A25" s="397" t="s">
        <v>130</v>
      </c>
      <c r="B25" s="618" t="s">
        <v>279</v>
      </c>
      <c r="C25" s="390">
        <f>'Combustion (Proposed)'!L30</f>
        <v>7.642584193421665E-8</v>
      </c>
      <c r="D25" s="385">
        <f>'Combustion (Proposed)'!M30</f>
        <v>3.3474518767186893E-7</v>
      </c>
      <c r="E25" s="385">
        <f>'Combustion (Proposed)'!N30</f>
        <v>3.3474518767186893E-7</v>
      </c>
      <c r="F25" s="385">
        <f>'Combustion (Proposed)'!O95</f>
        <v>3.1350999999999995E-7</v>
      </c>
      <c r="G25" s="385">
        <f>'Combustion (Proposed)'!P95</f>
        <v>1.3731737999999997E-6</v>
      </c>
      <c r="H25" s="385">
        <f>'Combustion (Proposed)'!Q95</f>
        <v>1.3731737999999997E-6</v>
      </c>
      <c r="I25" s="385">
        <f>'Combustion (Proposed)'!O163</f>
        <v>1.7476666666666668E-6</v>
      </c>
      <c r="J25" s="385">
        <f>'Combustion (Proposed)'!P163</f>
        <v>7.6547800000000003E-6</v>
      </c>
      <c r="K25" s="385">
        <f>'Combustion (Proposed)'!Q163</f>
        <v>7.6547800000000003E-6</v>
      </c>
      <c r="L25" s="386">
        <f t="shared" si="0"/>
        <v>2.1376025086008833E-6</v>
      </c>
      <c r="M25" s="386">
        <f t="shared" si="0"/>
        <v>9.3626989876718691E-6</v>
      </c>
      <c r="N25" s="391">
        <f t="shared" si="0"/>
        <v>9.3626989876718691E-6</v>
      </c>
      <c r="O25" s="616"/>
      <c r="P25">
        <v>7</v>
      </c>
      <c r="Q25" s="412" t="s">
        <v>130</v>
      </c>
      <c r="R25" s="414" t="s">
        <v>279</v>
      </c>
      <c r="S25" s="407">
        <v>8.5712266262477125E-7</v>
      </c>
      <c r="T25" s="408">
        <v>3.7541972622964984E-6</v>
      </c>
      <c r="U25" s="408">
        <v>8.4031633590663854E-8</v>
      </c>
      <c r="V25" s="408">
        <v>3.680585551271077E-7</v>
      </c>
      <c r="W25" s="408">
        <v>2.9545522370477404E-7</v>
      </c>
      <c r="X25" s="408">
        <v>1.2940938798269101E-6</v>
      </c>
      <c r="Y25" s="408">
        <v>5.6555123031320308E-7</v>
      </c>
      <c r="Z25" s="408">
        <v>2.4771143887718292E-6</v>
      </c>
      <c r="AA25" s="409">
        <v>1.8021607502334122E-6</v>
      </c>
      <c r="AB25" s="410">
        <v>7.893464086022345E-6</v>
      </c>
    </row>
    <row r="26" spans="1:28" x14ac:dyDescent="0.2">
      <c r="A26" s="397" t="s">
        <v>216</v>
      </c>
      <c r="B26" s="618" t="s">
        <v>280</v>
      </c>
      <c r="C26" s="390">
        <f>'Combustion (Proposed)'!L31</f>
        <v>1.1764705882352942E-7</v>
      </c>
      <c r="D26" s="385">
        <f>'Combustion (Proposed)'!M31</f>
        <v>5.1529411764705885E-7</v>
      </c>
      <c r="E26" s="385">
        <f>'Combustion (Proposed)'!N31</f>
        <v>5.1529411764705885E-7</v>
      </c>
      <c r="F26" s="385">
        <f>'Combustion (Proposed)'!O96</f>
        <v>4.1364705882352939E-7</v>
      </c>
      <c r="G26" s="385">
        <f>'Combustion (Proposed)'!P96</f>
        <v>1.8117741176470586E-6</v>
      </c>
      <c r="H26" s="385">
        <f>'Combustion (Proposed)'!Q96</f>
        <v>1.8117741176470586E-6</v>
      </c>
      <c r="I26" s="385">
        <f>'Combustion (Proposed)'!O164</f>
        <v>2.3058823529411766E-6</v>
      </c>
      <c r="J26" s="385">
        <f>'Combustion (Proposed)'!P164</f>
        <v>1.0099764705882353E-5</v>
      </c>
      <c r="K26" s="385">
        <f>'Combustion (Proposed)'!Q164</f>
        <v>1.0099764705882353E-5</v>
      </c>
      <c r="L26" s="386">
        <f t="shared" si="0"/>
        <v>2.8371764705882353E-6</v>
      </c>
      <c r="M26" s="386">
        <f t="shared" si="0"/>
        <v>1.242683294117647E-5</v>
      </c>
      <c r="N26" s="391">
        <f t="shared" si="0"/>
        <v>1.242683294117647E-5</v>
      </c>
      <c r="O26" s="616"/>
      <c r="Q26" s="397" t="s">
        <v>216</v>
      </c>
      <c r="R26" s="398" t="s">
        <v>280</v>
      </c>
      <c r="S26" s="390">
        <v>1.2000000000000002E-6</v>
      </c>
      <c r="T26" s="385">
        <v>5.256000000000001E-6</v>
      </c>
      <c r="U26" s="385">
        <v>1.1764705882352942E-7</v>
      </c>
      <c r="V26" s="385">
        <v>5.1529411764705885E-7</v>
      </c>
      <c r="W26" s="385">
        <v>4.1364705882352939E-7</v>
      </c>
      <c r="X26" s="385">
        <v>1.8117741176470586E-6</v>
      </c>
      <c r="Y26" s="385">
        <v>8.7058823529411776E-7</v>
      </c>
      <c r="Z26" s="385">
        <v>3.8131764705882358E-6</v>
      </c>
      <c r="AA26" s="386">
        <v>2.6018823529411768E-6</v>
      </c>
      <c r="AB26" s="391">
        <v>1.1396244705882355E-5</v>
      </c>
    </row>
    <row r="27" spans="1:28" ht="13.5" thickBot="1" x14ac:dyDescent="0.25">
      <c r="A27" s="397" t="s">
        <v>217</v>
      </c>
      <c r="B27" s="618" t="s">
        <v>281</v>
      </c>
      <c r="C27" s="390">
        <f>'Combustion (Proposed)'!L32</f>
        <v>8.823529411764706E-9</v>
      </c>
      <c r="D27" s="385">
        <f>'Combustion (Proposed)'!M32</f>
        <v>3.8647058823529411E-8</v>
      </c>
      <c r="E27" s="385">
        <f>'Combustion (Proposed)'!N32</f>
        <v>3.8647058823529411E-8</v>
      </c>
      <c r="F27" s="385">
        <f>'Combustion (Proposed)'!O97</f>
        <v>3.1023529411764698E-8</v>
      </c>
      <c r="G27" s="385">
        <f>'Combustion (Proposed)'!P97</f>
        <v>1.3588305882352937E-7</v>
      </c>
      <c r="H27" s="385">
        <f>'Combustion (Proposed)'!Q97</f>
        <v>1.3588305882352937E-7</v>
      </c>
      <c r="I27" s="385">
        <f>'Combustion (Proposed)'!O165</f>
        <v>1.7294117647058823E-7</v>
      </c>
      <c r="J27" s="385">
        <f>'Combustion (Proposed)'!P165</f>
        <v>7.5748235294117652E-7</v>
      </c>
      <c r="K27" s="385">
        <f>'Combustion (Proposed)'!Q165</f>
        <v>7.5748235294117652E-7</v>
      </c>
      <c r="L27" s="386">
        <f t="shared" si="0"/>
        <v>2.1278823529411762E-7</v>
      </c>
      <c r="M27" s="386">
        <f t="shared" si="0"/>
        <v>9.3201247058823532E-7</v>
      </c>
      <c r="N27" s="391">
        <f t="shared" si="0"/>
        <v>9.3201247058823532E-7</v>
      </c>
      <c r="O27" s="616"/>
      <c r="Q27" s="402" t="s">
        <v>217</v>
      </c>
      <c r="R27" s="403" t="s">
        <v>281</v>
      </c>
      <c r="S27" s="392">
        <v>8.9999999999999999E-8</v>
      </c>
      <c r="T27" s="393">
        <v>3.9419999999999997E-7</v>
      </c>
      <c r="U27" s="393">
        <v>8.823529411764706E-9</v>
      </c>
      <c r="V27" s="393">
        <v>3.8647058823529411E-8</v>
      </c>
      <c r="W27" s="393">
        <v>3.1023529411764698E-8</v>
      </c>
      <c r="X27" s="393">
        <v>1.3588305882352937E-7</v>
      </c>
      <c r="Y27" s="393">
        <v>6.5294117647058821E-8</v>
      </c>
      <c r="Z27" s="393">
        <v>2.8598823529411762E-7</v>
      </c>
      <c r="AA27" s="394">
        <v>1.9514117647058823E-7</v>
      </c>
      <c r="AB27" s="395">
        <v>8.5471835294117634E-7</v>
      </c>
    </row>
    <row r="28" spans="1:28" x14ac:dyDescent="0.2">
      <c r="A28" s="397" t="s">
        <v>131</v>
      </c>
      <c r="B28" s="618" t="s">
        <v>282</v>
      </c>
      <c r="C28" s="390">
        <f>'Combustion (Proposed)'!L33</f>
        <v>4.0355701582086361E-5</v>
      </c>
      <c r="D28" s="385">
        <f>'Combustion (Proposed)'!M33</f>
        <v>1.7675797292953827E-4</v>
      </c>
      <c r="E28" s="385">
        <f>'Combustion (Proposed)'!N33</f>
        <v>1.7675797292953827E-4</v>
      </c>
      <c r="F28" s="385">
        <f>'Combustion (Proposed)'!O98</f>
        <v>1.6554499999999999E-4</v>
      </c>
      <c r="G28" s="385">
        <f>'Combustion (Proposed)'!P98</f>
        <v>7.2508709999999994E-4</v>
      </c>
      <c r="H28" s="385">
        <f>'Combustion (Proposed)'!Q98</f>
        <v>7.2508709999999994E-4</v>
      </c>
      <c r="I28" s="385">
        <f>'Combustion (Proposed)'!O166</f>
        <v>9.2283333333333334E-4</v>
      </c>
      <c r="J28" s="385">
        <f>'Combustion (Proposed)'!P166</f>
        <v>4.0420100000000004E-3</v>
      </c>
      <c r="K28" s="385">
        <f>'Combustion (Proposed)'!Q166</f>
        <v>4.0420100000000004E-3</v>
      </c>
      <c r="L28" s="386">
        <f t="shared" si="0"/>
        <v>1.1287340349154197E-3</v>
      </c>
      <c r="M28" s="386">
        <f t="shared" si="0"/>
        <v>4.9438550729295387E-3</v>
      </c>
      <c r="N28" s="391">
        <f t="shared" si="0"/>
        <v>4.9438550729295387E-3</v>
      </c>
      <c r="O28" s="616"/>
      <c r="P28">
        <v>8</v>
      </c>
      <c r="Q28" s="412" t="s">
        <v>131</v>
      </c>
      <c r="R28" s="414" t="s">
        <v>282</v>
      </c>
      <c r="S28" s="407">
        <v>4.5259280783457547E-4</v>
      </c>
      <c r="T28" s="408">
        <v>1.9823564983154403E-3</v>
      </c>
      <c r="U28" s="408">
        <v>4.4371843905350541E-5</v>
      </c>
      <c r="V28" s="408">
        <v>1.9434867630543538E-4</v>
      </c>
      <c r="W28" s="408">
        <v>1.5601140317121246E-4</v>
      </c>
      <c r="X28" s="408">
        <v>6.8332994588991055E-4</v>
      </c>
      <c r="Y28" s="408">
        <v>2.98632191707439E-4</v>
      </c>
      <c r="Z28" s="408">
        <v>1.3080089996785828E-3</v>
      </c>
      <c r="AA28" s="409">
        <v>9.5160824661857761E-4</v>
      </c>
      <c r="AB28" s="410">
        <v>4.168044120189369E-3</v>
      </c>
    </row>
    <row r="29" spans="1:28" x14ac:dyDescent="0.2">
      <c r="A29" s="397" t="s">
        <v>132</v>
      </c>
      <c r="B29" s="618" t="s">
        <v>283</v>
      </c>
      <c r="C29" s="390">
        <f>'Combustion (Proposed)'!L34</f>
        <v>3.7498660762115644E-7</v>
      </c>
      <c r="D29" s="385">
        <f>'Combustion (Proposed)'!M34</f>
        <v>1.6424413413806652E-6</v>
      </c>
      <c r="E29" s="385">
        <f>'Combustion (Proposed)'!N34</f>
        <v>1.6424413413806652E-6</v>
      </c>
      <c r="F29" s="385">
        <f>'Combustion (Proposed)'!O99</f>
        <v>1.5382499999999998E-6</v>
      </c>
      <c r="G29" s="385">
        <f>'Combustion (Proposed)'!P99</f>
        <v>6.7375349999999994E-6</v>
      </c>
      <c r="H29" s="385">
        <f>'Combustion (Proposed)'!Q99</f>
        <v>6.7375349999999994E-6</v>
      </c>
      <c r="I29" s="385">
        <f>'Combustion (Proposed)'!O167</f>
        <v>8.5750000000000001E-6</v>
      </c>
      <c r="J29" s="385">
        <f>'Combustion (Proposed)'!P167</f>
        <v>3.7558500000000003E-5</v>
      </c>
      <c r="K29" s="385">
        <f>'Combustion (Proposed)'!Q167</f>
        <v>3.7558500000000003E-5</v>
      </c>
      <c r="L29" s="386">
        <f t="shared" si="0"/>
        <v>1.0488236607621156E-5</v>
      </c>
      <c r="M29" s="386">
        <f t="shared" si="0"/>
        <v>4.5938476341380666E-5</v>
      </c>
      <c r="N29" s="391">
        <f t="shared" si="0"/>
        <v>4.5938476341380666E-5</v>
      </c>
      <c r="O29" s="616"/>
      <c r="Q29" s="397" t="s">
        <v>132</v>
      </c>
      <c r="R29" s="398" t="s">
        <v>283</v>
      </c>
      <c r="S29" s="390">
        <v>4.2055083913832234E-6</v>
      </c>
      <c r="T29" s="385">
        <v>1.8420126754258517E-5</v>
      </c>
      <c r="U29" s="385">
        <v>4.123047442532572E-7</v>
      </c>
      <c r="V29" s="385">
        <v>1.8058947798292664E-6</v>
      </c>
      <c r="W29" s="385">
        <v>1.4496634807944523E-6</v>
      </c>
      <c r="X29" s="385">
        <v>6.3495260458797008E-6</v>
      </c>
      <c r="Y29" s="385">
        <v>2.7749008963965573E-6</v>
      </c>
      <c r="Z29" s="385">
        <v>1.2154065926216921E-5</v>
      </c>
      <c r="AA29" s="386">
        <v>8.842377512827491E-6</v>
      </c>
      <c r="AB29" s="391">
        <v>3.8729613506184407E-5</v>
      </c>
    </row>
    <row r="30" spans="1:28" ht="12.75" hidden="1" customHeight="1" x14ac:dyDescent="0.2">
      <c r="A30" s="397" t="s">
        <v>242</v>
      </c>
      <c r="B30" s="618"/>
      <c r="C30" s="390">
        <f>'Combustion (Proposed)'!L35</f>
        <v>0</v>
      </c>
      <c r="D30" s="385">
        <f>'Combustion (Proposed)'!M35</f>
        <v>0</v>
      </c>
      <c r="E30" s="385">
        <f>'Combustion (Proposed)'!N35</f>
        <v>0</v>
      </c>
      <c r="F30" s="385">
        <f>'Combustion (Proposed)'!O100</f>
        <v>0</v>
      </c>
      <c r="G30" s="385">
        <f>'Combustion (Proposed)'!P100</f>
        <v>0</v>
      </c>
      <c r="H30" s="385">
        <f>'Combustion (Proposed)'!Q100</f>
        <v>0</v>
      </c>
      <c r="I30" s="385">
        <f>'Combustion (Proposed)'!O168</f>
        <v>0</v>
      </c>
      <c r="J30" s="385">
        <f>'Combustion (Proposed)'!P168</f>
        <v>0</v>
      </c>
      <c r="K30" s="385">
        <f>'Combustion (Proposed)'!Q168</f>
        <v>0</v>
      </c>
      <c r="L30" s="386">
        <f t="shared" si="0"/>
        <v>0</v>
      </c>
      <c r="M30" s="386">
        <f t="shared" si="0"/>
        <v>0</v>
      </c>
      <c r="N30" s="391">
        <f t="shared" si="0"/>
        <v>0</v>
      </c>
      <c r="O30" s="616"/>
      <c r="Q30" s="397" t="s">
        <v>242</v>
      </c>
      <c r="R30" s="398"/>
      <c r="S30" s="390">
        <v>0</v>
      </c>
      <c r="T30" s="385">
        <v>0</v>
      </c>
      <c r="U30" s="385">
        <v>0</v>
      </c>
      <c r="V30" s="385">
        <v>0</v>
      </c>
      <c r="W30" s="385">
        <v>0</v>
      </c>
      <c r="X30" s="385">
        <v>0</v>
      </c>
      <c r="Y30" s="385">
        <v>0</v>
      </c>
      <c r="Z30" s="385">
        <v>0</v>
      </c>
      <c r="AA30" s="386">
        <v>0</v>
      </c>
      <c r="AB30" s="391">
        <v>0</v>
      </c>
    </row>
    <row r="31" spans="1:28" ht="13.5" thickBot="1" x14ac:dyDescent="0.25">
      <c r="A31" s="397" t="s">
        <v>133</v>
      </c>
      <c r="B31" s="618" t="s">
        <v>284</v>
      </c>
      <c r="C31" s="390">
        <f>'Combustion (Proposed)'!L36</f>
        <v>1.5178029356094429E-7</v>
      </c>
      <c r="D31" s="385">
        <f>'Combustion (Proposed)'!M36</f>
        <v>6.6479768579693597E-7</v>
      </c>
      <c r="E31" s="385">
        <f>'Combustion (Proposed)'!N36</f>
        <v>6.6479768579693597E-7</v>
      </c>
      <c r="F31" s="385">
        <f>'Combustion (Proposed)'!O101</f>
        <v>6.2262499999999993E-7</v>
      </c>
      <c r="G31" s="385">
        <f>'Combustion (Proposed)'!P101</f>
        <v>2.7270974999999995E-6</v>
      </c>
      <c r="H31" s="385">
        <f>'Combustion (Proposed)'!Q101</f>
        <v>2.7270974999999995E-6</v>
      </c>
      <c r="I31" s="385">
        <f>'Combustion (Proposed)'!O169</f>
        <v>3.4708333333333337E-6</v>
      </c>
      <c r="J31" s="385">
        <f>'Combustion (Proposed)'!P169</f>
        <v>1.5202250000000002E-5</v>
      </c>
      <c r="K31" s="385">
        <f>'Combustion (Proposed)'!Q169</f>
        <v>1.5202250000000002E-5</v>
      </c>
      <c r="L31" s="386">
        <f t="shared" si="0"/>
        <v>4.2452386268942777E-6</v>
      </c>
      <c r="M31" s="386">
        <f t="shared" si="0"/>
        <v>1.8594145185796936E-5</v>
      </c>
      <c r="N31" s="391">
        <f t="shared" si="0"/>
        <v>1.8594145185796936E-5</v>
      </c>
      <c r="O31" s="616"/>
      <c r="Q31" s="402" t="s">
        <v>133</v>
      </c>
      <c r="R31" s="403" t="s">
        <v>284</v>
      </c>
      <c r="S31" s="392">
        <v>1.7022295869884476E-6</v>
      </c>
      <c r="T31" s="393">
        <v>7.4557655910094004E-6</v>
      </c>
      <c r="U31" s="393">
        <v>1.6688525362631842E-7</v>
      </c>
      <c r="V31" s="393">
        <v>7.3095741088327458E-7</v>
      </c>
      <c r="W31" s="393">
        <v>5.8676855175013544E-7</v>
      </c>
      <c r="X31" s="393">
        <v>2.570046256665593E-6</v>
      </c>
      <c r="Y31" s="393">
        <v>1.1231741723509876E-6</v>
      </c>
      <c r="Z31" s="393">
        <v>4.9195028748973257E-6</v>
      </c>
      <c r="AA31" s="394">
        <v>3.5790575647158889E-6</v>
      </c>
      <c r="AB31" s="395">
        <v>1.5676272133455592E-5</v>
      </c>
    </row>
    <row r="32" spans="1:28" x14ac:dyDescent="0.2">
      <c r="A32" s="397" t="s">
        <v>134</v>
      </c>
      <c r="B32" s="618" t="s">
        <v>285</v>
      </c>
      <c r="C32" s="390">
        <f>'Combustion (Proposed)'!L37</f>
        <v>2.2142066354773047E-4</v>
      </c>
      <c r="D32" s="385">
        <f>'Combustion (Proposed)'!M37</f>
        <v>9.698225063390594E-4</v>
      </c>
      <c r="E32" s="385">
        <f>'Combustion (Proposed)'!N37</f>
        <v>9.698225063390594E-4</v>
      </c>
      <c r="F32" s="385">
        <f>'Combustion (Proposed)'!O102</f>
        <v>9.0829999999999991E-4</v>
      </c>
      <c r="G32" s="385">
        <f>'Combustion (Proposed)'!P102</f>
        <v>3.9783539999999999E-3</v>
      </c>
      <c r="H32" s="385">
        <f>'Combustion (Proposed)'!Q102</f>
        <v>3.9783539999999999E-3</v>
      </c>
      <c r="I32" s="385">
        <f>'Combustion (Proposed)'!O170</f>
        <v>5.0633333333333337E-3</v>
      </c>
      <c r="J32" s="385">
        <f>'Combustion (Proposed)'!P170</f>
        <v>2.2177400000000003E-2</v>
      </c>
      <c r="K32" s="385">
        <f>'Combustion (Proposed)'!Q170</f>
        <v>2.2177400000000003E-2</v>
      </c>
      <c r="L32" s="386">
        <f t="shared" si="0"/>
        <v>6.1930539968810643E-3</v>
      </c>
      <c r="M32" s="386">
        <f t="shared" si="0"/>
        <v>2.7125576506339063E-2</v>
      </c>
      <c r="N32" s="391">
        <f t="shared" si="0"/>
        <v>2.7125576506339063E-2</v>
      </c>
      <c r="O32" s="616"/>
      <c r="P32">
        <v>9</v>
      </c>
      <c r="Q32" s="412" t="s">
        <v>134</v>
      </c>
      <c r="R32" s="414" t="s">
        <v>285</v>
      </c>
      <c r="S32" s="407">
        <v>2.4832525739596177E-3</v>
      </c>
      <c r="T32" s="408">
        <v>1.0876646273943125E-2</v>
      </c>
      <c r="U32" s="408">
        <v>2.434561347019233E-4</v>
      </c>
      <c r="V32" s="408">
        <v>1.066337869994424E-3</v>
      </c>
      <c r="W32" s="408">
        <v>8.5599176961196222E-4</v>
      </c>
      <c r="X32" s="408">
        <v>3.7492439509003946E-3</v>
      </c>
      <c r="Y32" s="408">
        <v>1.6385129102532052E-3</v>
      </c>
      <c r="Z32" s="408">
        <v>7.1766865469090387E-3</v>
      </c>
      <c r="AA32" s="409">
        <v>5.2212133885267079E-3</v>
      </c>
      <c r="AB32" s="410">
        <v>2.2868914641746986E-2</v>
      </c>
    </row>
    <row r="33" spans="1:28" x14ac:dyDescent="0.2">
      <c r="A33" s="401" t="s">
        <v>240</v>
      </c>
      <c r="B33" s="618" t="s">
        <v>298</v>
      </c>
      <c r="C33" s="390">
        <f>'Combustion (Proposed)'!L38</f>
        <v>8.4282704189136117E-6</v>
      </c>
      <c r="D33" s="385">
        <f>'Combustion (Proposed)'!M38</f>
        <v>3.6915824434841618E-5</v>
      </c>
      <c r="E33" s="385">
        <f>'Combustion (Proposed)'!N38</f>
        <v>3.6915824434841618E-5</v>
      </c>
      <c r="F33" s="385">
        <f>'Combustion (Proposed)'!O103</f>
        <v>3.4573999999999998E-5</v>
      </c>
      <c r="G33" s="385">
        <f>'Combustion (Proposed)'!P103</f>
        <v>1.5143411999999997E-4</v>
      </c>
      <c r="H33" s="385">
        <f>'Combustion (Proposed)'!Q103</f>
        <v>1.5143411999999997E-4</v>
      </c>
      <c r="I33" s="385">
        <f>'Combustion (Proposed)'!O171</f>
        <v>1.9273333333333335E-4</v>
      </c>
      <c r="J33" s="385">
        <f>'Combustion (Proposed)'!P171</f>
        <v>8.4417200000000002E-4</v>
      </c>
      <c r="K33" s="385">
        <f>'Combustion (Proposed)'!Q171</f>
        <v>8.4417200000000002E-4</v>
      </c>
      <c r="L33" s="386">
        <f t="shared" si="0"/>
        <v>2.3573560375224697E-4</v>
      </c>
      <c r="M33" s="386">
        <f t="shared" si="0"/>
        <v>1.0325219444348415E-3</v>
      </c>
      <c r="N33" s="391">
        <f t="shared" si="0"/>
        <v>1.0325219444348415E-3</v>
      </c>
      <c r="O33" s="616"/>
      <c r="Q33" s="401" t="s">
        <v>240</v>
      </c>
      <c r="R33" s="398" t="s">
        <v>298</v>
      </c>
      <c r="S33" s="390">
        <v>9.4523807653946736E-5</v>
      </c>
      <c r="T33" s="385">
        <v>4.1401427752428674E-4</v>
      </c>
      <c r="U33" s="385">
        <v>9.2670399660732106E-6</v>
      </c>
      <c r="V33" s="385">
        <v>4.058963505140066E-5</v>
      </c>
      <c r="W33" s="385">
        <v>3.2582912520713398E-5</v>
      </c>
      <c r="X33" s="385">
        <v>1.4271315684072469E-4</v>
      </c>
      <c r="Y33" s="385">
        <v>6.2369201099960711E-5</v>
      </c>
      <c r="Z33" s="385">
        <v>2.7317710081782793E-4</v>
      </c>
      <c r="AA33" s="386">
        <v>1.9874296124069405E-4</v>
      </c>
      <c r="AB33" s="391">
        <v>8.7049417023423998E-4</v>
      </c>
    </row>
    <row r="34" spans="1:28" ht="13.5" thickBot="1" x14ac:dyDescent="0.25">
      <c r="A34" s="397" t="s">
        <v>135</v>
      </c>
      <c r="B34" s="618" t="s">
        <v>296</v>
      </c>
      <c r="C34" s="390">
        <f>'Combustion (Proposed)'!L39</f>
        <v>3.892718117210101E-6</v>
      </c>
      <c r="D34" s="385">
        <f>'Combustion (Proposed)'!M39</f>
        <v>1.705010535338024E-5</v>
      </c>
      <c r="E34" s="385">
        <f>'Combustion (Proposed)'!N39</f>
        <v>1.705010535338024E-5</v>
      </c>
      <c r="F34" s="385">
        <f>'Combustion (Proposed)'!O104</f>
        <v>1.5968500000000001E-5</v>
      </c>
      <c r="G34" s="385">
        <f>'Combustion (Proposed)'!P104</f>
        <v>6.9942030000000004E-5</v>
      </c>
      <c r="H34" s="385">
        <f>'Combustion (Proposed)'!Q104</f>
        <v>6.9942030000000004E-5</v>
      </c>
      <c r="I34" s="385">
        <f>'Combustion (Proposed)'!O172</f>
        <v>8.9016666666666685E-5</v>
      </c>
      <c r="J34" s="385">
        <f>'Combustion (Proposed)'!P172</f>
        <v>3.898930000000001E-4</v>
      </c>
      <c r="K34" s="385">
        <f>'Combustion (Proposed)'!Q172</f>
        <v>3.898930000000001E-4</v>
      </c>
      <c r="L34" s="386">
        <f t="shared" si="0"/>
        <v>1.0887788478387679E-4</v>
      </c>
      <c r="M34" s="386">
        <f t="shared" si="0"/>
        <v>4.7688513535338033E-4</v>
      </c>
      <c r="N34" s="391">
        <f t="shared" si="0"/>
        <v>4.7688513535338033E-4</v>
      </c>
      <c r="O34" s="616"/>
      <c r="Q34" s="402" t="s">
        <v>135</v>
      </c>
      <c r="R34" s="403" t="s">
        <v>296</v>
      </c>
      <c r="S34" s="392">
        <v>4.3657182348644897E-5</v>
      </c>
      <c r="T34" s="393">
        <v>1.9121845868706467E-4</v>
      </c>
      <c r="U34" s="393">
        <v>4.2801159165338133E-6</v>
      </c>
      <c r="V34" s="393">
        <v>1.8746907714418102E-5</v>
      </c>
      <c r="W34" s="393">
        <v>1.5048887562532887E-5</v>
      </c>
      <c r="X34" s="393">
        <v>6.5914127523894039E-5</v>
      </c>
      <c r="Y34" s="393">
        <v>2.8806114067354742E-5</v>
      </c>
      <c r="Z34" s="393">
        <v>1.2617077961501376E-4</v>
      </c>
      <c r="AA34" s="394">
        <v>9.1792299895066345E-5</v>
      </c>
      <c r="AB34" s="395">
        <v>4.0205027354039058E-4</v>
      </c>
    </row>
    <row r="35" spans="1:28" hidden="1" x14ac:dyDescent="0.2">
      <c r="A35" s="397" t="s">
        <v>136</v>
      </c>
      <c r="B35" s="618" t="s">
        <v>297</v>
      </c>
      <c r="C35" s="390" t="e">
        <f>'Combustion (Proposed)'!#REF!</f>
        <v>#REF!</v>
      </c>
      <c r="D35" s="385" t="e">
        <f>'Combustion (Proposed)'!#REF!</f>
        <v>#REF!</v>
      </c>
      <c r="E35" s="385" t="e">
        <f>'Combustion (Proposed)'!#REF!</f>
        <v>#REF!</v>
      </c>
      <c r="F35" s="385" t="e">
        <f>'Combustion (Proposed)'!#REF!</f>
        <v>#REF!</v>
      </c>
      <c r="G35" s="385" t="e">
        <f>'Combustion (Proposed)'!#REF!</f>
        <v>#REF!</v>
      </c>
      <c r="H35" s="385" t="e">
        <f>'Combustion (Proposed)'!#REF!</f>
        <v>#REF!</v>
      </c>
      <c r="I35" s="385" t="e">
        <f>'Combustion (Proposed)'!#REF!</f>
        <v>#REF!</v>
      </c>
      <c r="J35" s="385" t="e">
        <f>'Combustion (Proposed)'!#REF!</f>
        <v>#REF!</v>
      </c>
      <c r="K35" s="385" t="e">
        <f>'Combustion (Proposed)'!#REF!</f>
        <v>#REF!</v>
      </c>
      <c r="L35" s="386" t="e">
        <f t="shared" si="0"/>
        <v>#REF!</v>
      </c>
      <c r="M35" s="386" t="e">
        <f t="shared" si="0"/>
        <v>#REF!</v>
      </c>
      <c r="N35" s="391" t="e">
        <f t="shared" si="0"/>
        <v>#REF!</v>
      </c>
      <c r="O35" s="616"/>
      <c r="P35">
        <v>10</v>
      </c>
      <c r="Q35" s="412" t="s">
        <v>136</v>
      </c>
      <c r="R35" s="414" t="s">
        <v>297</v>
      </c>
      <c r="S35" s="407">
        <v>2.6250000000000004E-4</v>
      </c>
      <c r="T35" s="408">
        <v>1.1497500000000002E-3</v>
      </c>
      <c r="U35" s="408">
        <v>2.573529411764706E-5</v>
      </c>
      <c r="V35" s="408">
        <v>1.1272058823529412E-4</v>
      </c>
      <c r="W35" s="408">
        <v>9.0485294117647052E-5</v>
      </c>
      <c r="X35" s="408">
        <v>3.9632558823529408E-4</v>
      </c>
      <c r="Y35" s="408">
        <v>1.9044117647058827E-4</v>
      </c>
      <c r="Z35" s="408">
        <v>8.3413235294117663E-4</v>
      </c>
      <c r="AA35" s="409">
        <v>5.6916176470588249E-4</v>
      </c>
      <c r="AB35" s="410">
        <v>2.492928529411765E-3</v>
      </c>
    </row>
    <row r="36" spans="1:28" x14ac:dyDescent="0.2">
      <c r="A36" s="397" t="s">
        <v>137</v>
      </c>
      <c r="B36" s="618" t="s">
        <v>286</v>
      </c>
      <c r="C36" s="390">
        <f>'Combustion (Proposed)'!L40</f>
        <v>9.8039215686274508E-7</v>
      </c>
      <c r="D36" s="385">
        <f>'Combustion (Proposed)'!M40</f>
        <v>4.2941176470588233E-6</v>
      </c>
      <c r="E36" s="385">
        <f>'Combustion (Proposed)'!N40</f>
        <v>4.2941176470588233E-6</v>
      </c>
      <c r="F36" s="385">
        <f>'Combustion (Proposed)'!O105</f>
        <v>3.4470588235294115E-6</v>
      </c>
      <c r="G36" s="385">
        <f>'Combustion (Proposed)'!P105</f>
        <v>1.5098117647058823E-5</v>
      </c>
      <c r="H36" s="385">
        <f>'Combustion (Proposed)'!Q105</f>
        <v>1.5098117647058823E-5</v>
      </c>
      <c r="I36" s="385">
        <f>'Combustion (Proposed)'!O173</f>
        <v>1.9215686274509807E-5</v>
      </c>
      <c r="J36" s="385">
        <f>'Combustion (Proposed)'!P173</f>
        <v>8.4164705882352952E-5</v>
      </c>
      <c r="K36" s="385">
        <f>'Combustion (Proposed)'!Q173</f>
        <v>8.4164705882352952E-5</v>
      </c>
      <c r="L36" s="386">
        <f t="shared" si="0"/>
        <v>2.3643137254901964E-5</v>
      </c>
      <c r="M36" s="386">
        <f t="shared" si="0"/>
        <v>1.0355694117647059E-4</v>
      </c>
      <c r="N36" s="391">
        <f t="shared" si="0"/>
        <v>1.0355694117647059E-4</v>
      </c>
      <c r="O36" s="616"/>
      <c r="Q36" s="397" t="s">
        <v>137</v>
      </c>
      <c r="R36" s="398" t="s">
        <v>286</v>
      </c>
      <c r="S36" s="390">
        <v>1.0000000000000001E-5</v>
      </c>
      <c r="T36" s="385">
        <v>4.3800000000000008E-5</v>
      </c>
      <c r="U36" s="385">
        <v>9.8039215686274508E-7</v>
      </c>
      <c r="V36" s="385">
        <v>4.2941176470588233E-6</v>
      </c>
      <c r="W36" s="385">
        <v>3.4470588235294115E-6</v>
      </c>
      <c r="X36" s="385">
        <v>1.5098117647058823E-5</v>
      </c>
      <c r="Y36" s="385">
        <v>7.2549019607843145E-6</v>
      </c>
      <c r="Z36" s="385">
        <v>3.1776470588235292E-5</v>
      </c>
      <c r="AA36" s="386">
        <v>2.1682352941176471E-5</v>
      </c>
      <c r="AB36" s="391">
        <v>9.4968705882352952E-5</v>
      </c>
    </row>
    <row r="37" spans="1:28" ht="13.5" thickBot="1" x14ac:dyDescent="0.25">
      <c r="A37" s="397" t="s">
        <v>138</v>
      </c>
      <c r="B37" s="618" t="s">
        <v>287</v>
      </c>
      <c r="C37" s="390">
        <f>'Combustion (Proposed)'!L41</f>
        <v>5.8823529411764709E-8</v>
      </c>
      <c r="D37" s="385">
        <f>'Combustion (Proposed)'!M41</f>
        <v>2.5764705882352943E-7</v>
      </c>
      <c r="E37" s="385">
        <f>'Combustion (Proposed)'!N41</f>
        <v>2.5764705882352943E-7</v>
      </c>
      <c r="F37" s="385">
        <f>'Combustion (Proposed)'!O106</f>
        <v>2.068235294117647E-7</v>
      </c>
      <c r="G37" s="385">
        <f>'Combustion (Proposed)'!P106</f>
        <v>9.0588705882352931E-7</v>
      </c>
      <c r="H37" s="385">
        <f>'Combustion (Proposed)'!Q106</f>
        <v>9.0588705882352931E-7</v>
      </c>
      <c r="I37" s="385">
        <f>'Combustion (Proposed)'!O174</f>
        <v>1.1529411764705883E-6</v>
      </c>
      <c r="J37" s="385">
        <f>'Combustion (Proposed)'!P174</f>
        <v>5.0498823529411765E-6</v>
      </c>
      <c r="K37" s="385">
        <f>'Combustion (Proposed)'!Q174</f>
        <v>5.0498823529411765E-6</v>
      </c>
      <c r="L37" s="386">
        <f t="shared" si="0"/>
        <v>1.4185882352941176E-6</v>
      </c>
      <c r="M37" s="386">
        <f t="shared" si="0"/>
        <v>6.2134164705882351E-6</v>
      </c>
      <c r="N37" s="391">
        <f t="shared" si="0"/>
        <v>6.2134164705882351E-6</v>
      </c>
      <c r="O37" s="616"/>
      <c r="Q37" s="402" t="s">
        <v>138</v>
      </c>
      <c r="R37" s="403" t="s">
        <v>287</v>
      </c>
      <c r="S37" s="392">
        <v>6.0000000000000008E-7</v>
      </c>
      <c r="T37" s="393">
        <v>2.6280000000000005E-6</v>
      </c>
      <c r="U37" s="393">
        <v>5.8823529411764709E-8</v>
      </c>
      <c r="V37" s="393">
        <v>2.5764705882352943E-7</v>
      </c>
      <c r="W37" s="393">
        <v>2.068235294117647E-7</v>
      </c>
      <c r="X37" s="393">
        <v>9.0588705882352931E-7</v>
      </c>
      <c r="Y37" s="393">
        <v>4.3529411764705888E-7</v>
      </c>
      <c r="Z37" s="393">
        <v>1.9065882352941179E-6</v>
      </c>
      <c r="AA37" s="394">
        <v>1.3009411764705884E-6</v>
      </c>
      <c r="AB37" s="395">
        <v>5.6981223529411776E-6</v>
      </c>
    </row>
    <row r="38" spans="1:28" x14ac:dyDescent="0.2">
      <c r="A38" s="397" t="s">
        <v>139</v>
      </c>
      <c r="B38" s="618" t="s">
        <v>288</v>
      </c>
      <c r="C38" s="390">
        <f>'Combustion (Proposed)'!L42</f>
        <v>5.3921568627450987E-6</v>
      </c>
      <c r="D38" s="385">
        <f>'Combustion (Proposed)'!M42</f>
        <v>2.3617647058823532E-5</v>
      </c>
      <c r="E38" s="385">
        <f>'Combustion (Proposed)'!N42</f>
        <v>2.3617647058823532E-5</v>
      </c>
      <c r="F38" s="385">
        <f>'Combustion (Proposed)'!O107</f>
        <v>1.8958823529411765E-5</v>
      </c>
      <c r="G38" s="385">
        <f>'Combustion (Proposed)'!P107</f>
        <v>8.3039647058823544E-5</v>
      </c>
      <c r="H38" s="385">
        <f>'Combustion (Proposed)'!Q107</f>
        <v>8.3039647058823544E-5</v>
      </c>
      <c r="I38" s="385">
        <f>'Combustion (Proposed)'!O175</f>
        <v>1.0568627450980393E-4</v>
      </c>
      <c r="J38" s="385">
        <f>'Combustion (Proposed)'!P175</f>
        <v>4.629058823529412E-4</v>
      </c>
      <c r="K38" s="385">
        <f>'Combustion (Proposed)'!Q175</f>
        <v>4.629058823529412E-4</v>
      </c>
      <c r="L38" s="386">
        <f t="shared" si="0"/>
        <v>1.3003725490196079E-4</v>
      </c>
      <c r="M38" s="386">
        <f t="shared" si="0"/>
        <v>5.6956317647058829E-4</v>
      </c>
      <c r="N38" s="391">
        <f t="shared" si="0"/>
        <v>5.6956317647058829E-4</v>
      </c>
      <c r="O38" s="616"/>
      <c r="P38">
        <v>11</v>
      </c>
      <c r="Q38" s="412" t="s">
        <v>139</v>
      </c>
      <c r="R38" s="414" t="s">
        <v>288</v>
      </c>
      <c r="S38" s="407">
        <v>5.5000000000000009E-5</v>
      </c>
      <c r="T38" s="408">
        <v>2.4090000000000003E-4</v>
      </c>
      <c r="U38" s="408">
        <v>5.3921568627450987E-6</v>
      </c>
      <c r="V38" s="408">
        <v>2.3617647058823532E-5</v>
      </c>
      <c r="W38" s="408">
        <v>1.8958823529411765E-5</v>
      </c>
      <c r="X38" s="408">
        <v>8.3039647058823544E-5</v>
      </c>
      <c r="Y38" s="408">
        <v>3.9901960784313731E-5</v>
      </c>
      <c r="Z38" s="408">
        <v>1.7477058823529414E-4</v>
      </c>
      <c r="AA38" s="409">
        <v>1.1925294117647061E-4</v>
      </c>
      <c r="AB38" s="410">
        <v>5.223278823529412E-4</v>
      </c>
    </row>
    <row r="39" spans="1:28" x14ac:dyDescent="0.2">
      <c r="A39" s="397" t="s">
        <v>140</v>
      </c>
      <c r="B39" s="618" t="s">
        <v>289</v>
      </c>
      <c r="C39" s="390">
        <f>'Combustion (Proposed)'!L43</f>
        <v>6.8627450980392154E-6</v>
      </c>
      <c r="D39" s="385">
        <f>'Combustion (Proposed)'!M43</f>
        <v>3.0058823529411764E-5</v>
      </c>
      <c r="E39" s="385">
        <f>'Combustion (Proposed)'!N43</f>
        <v>3.0058823529411764E-5</v>
      </c>
      <c r="F39" s="385">
        <f>'Combustion (Proposed)'!O108</f>
        <v>2.4129411764705878E-5</v>
      </c>
      <c r="G39" s="385">
        <f>'Combustion (Proposed)'!P108</f>
        <v>1.0568682352941176E-4</v>
      </c>
      <c r="H39" s="385">
        <f>'Combustion (Proposed)'!Q108</f>
        <v>1.0568682352941176E-4</v>
      </c>
      <c r="I39" s="385">
        <f>'Combustion (Proposed)'!O176</f>
        <v>1.3450980392156863E-4</v>
      </c>
      <c r="J39" s="385">
        <f>'Combustion (Proposed)'!P176</f>
        <v>5.8915294117647065E-4</v>
      </c>
      <c r="K39" s="385">
        <f>'Combustion (Proposed)'!Q176</f>
        <v>5.8915294117647065E-4</v>
      </c>
      <c r="L39" s="386">
        <f t="shared" si="0"/>
        <v>1.6550196078431373E-4</v>
      </c>
      <c r="M39" s="386">
        <f t="shared" si="0"/>
        <v>7.248985882352941E-4</v>
      </c>
      <c r="N39" s="391">
        <f t="shared" si="0"/>
        <v>7.248985882352941E-4</v>
      </c>
      <c r="O39" s="616"/>
      <c r="Q39" s="397" t="s">
        <v>140</v>
      </c>
      <c r="R39" s="398" t="s">
        <v>289</v>
      </c>
      <c r="S39" s="390">
        <v>7.0000000000000007E-5</v>
      </c>
      <c r="T39" s="385">
        <v>3.0660000000000003E-4</v>
      </c>
      <c r="U39" s="385">
        <v>6.8627450980392154E-6</v>
      </c>
      <c r="V39" s="385">
        <v>3.0058823529411764E-5</v>
      </c>
      <c r="W39" s="385">
        <v>2.4129411764705878E-5</v>
      </c>
      <c r="X39" s="385">
        <v>1.0568682352941176E-4</v>
      </c>
      <c r="Y39" s="385">
        <v>5.0784313725490201E-5</v>
      </c>
      <c r="Z39" s="385">
        <v>2.2243529411764709E-4</v>
      </c>
      <c r="AA39" s="386">
        <v>1.5177647058823532E-4</v>
      </c>
      <c r="AB39" s="391">
        <v>6.6478094117647065E-4</v>
      </c>
    </row>
    <row r="40" spans="1:28" ht="13.5" thickBot="1" x14ac:dyDescent="0.25">
      <c r="A40" s="397" t="s">
        <v>141</v>
      </c>
      <c r="B40" s="618" t="s">
        <v>290</v>
      </c>
      <c r="C40" s="390">
        <f>'Combustion (Proposed)'!L44</f>
        <v>4.1176470588235289E-7</v>
      </c>
      <c r="D40" s="385">
        <f>'Combustion (Proposed)'!M44</f>
        <v>1.8035294117647058E-6</v>
      </c>
      <c r="E40" s="385">
        <f>'Combustion (Proposed)'!N44</f>
        <v>1.8035294117647058E-6</v>
      </c>
      <c r="F40" s="385">
        <f>'Combustion (Proposed)'!O109</f>
        <v>1.4477647058823526E-6</v>
      </c>
      <c r="G40" s="385">
        <f>'Combustion (Proposed)'!P109</f>
        <v>6.3412094117647046E-6</v>
      </c>
      <c r="H40" s="385">
        <f>'Combustion (Proposed)'!Q109</f>
        <v>6.3412094117647046E-6</v>
      </c>
      <c r="I40" s="385">
        <f>'Combustion (Proposed)'!O177</f>
        <v>8.070588235294117E-6</v>
      </c>
      <c r="J40" s="385">
        <f>'Combustion (Proposed)'!P177</f>
        <v>3.5349176470588234E-5</v>
      </c>
      <c r="K40" s="385">
        <f>'Combustion (Proposed)'!Q177</f>
        <v>3.5349176470588234E-5</v>
      </c>
      <c r="L40" s="386">
        <f t="shared" si="0"/>
        <v>9.9301176470588224E-6</v>
      </c>
      <c r="M40" s="386">
        <f t="shared" si="0"/>
        <v>4.3493915294117644E-5</v>
      </c>
      <c r="N40" s="391">
        <f t="shared" si="0"/>
        <v>4.3493915294117644E-5</v>
      </c>
      <c r="O40" s="616"/>
      <c r="Q40" s="402" t="s">
        <v>141</v>
      </c>
      <c r="R40" s="403" t="s">
        <v>290</v>
      </c>
      <c r="S40" s="392">
        <v>4.1999999999999996E-6</v>
      </c>
      <c r="T40" s="393">
        <v>1.8395999999999998E-5</v>
      </c>
      <c r="U40" s="393">
        <v>4.11764705882353E-7</v>
      </c>
      <c r="V40" s="393">
        <v>1.8035294117647101E-6</v>
      </c>
      <c r="W40" s="393">
        <v>1.4477647058823526E-6</v>
      </c>
      <c r="X40" s="393">
        <v>6.3412094117647046E-6</v>
      </c>
      <c r="Y40" s="393">
        <v>3.0470588235294119E-6</v>
      </c>
      <c r="Z40" s="393">
        <v>1.3346117647058825E-5</v>
      </c>
      <c r="AA40" s="394">
        <v>9.1065882352941169E-6</v>
      </c>
      <c r="AB40" s="395">
        <v>3.9886856470588235E-5</v>
      </c>
    </row>
    <row r="41" spans="1:28" x14ac:dyDescent="0.2">
      <c r="A41" s="401" t="s">
        <v>534</v>
      </c>
      <c r="B41" s="618" t="s">
        <v>535</v>
      </c>
      <c r="C41" s="390"/>
      <c r="D41" s="385"/>
      <c r="E41" s="385"/>
      <c r="F41" s="385"/>
      <c r="G41" s="385"/>
      <c r="H41" s="385"/>
      <c r="I41" s="385"/>
      <c r="J41" s="385"/>
      <c r="K41" s="385"/>
      <c r="L41" s="386">
        <f>'Combustion (Proposed)'!L50+'Combustion (Proposed)'!O115+'Combustion (Proposed)'!O183</f>
        <v>5.9107843137254907E-5</v>
      </c>
      <c r="M41" s="386">
        <f>'Combustion (Proposed)'!M50+'Combustion (Proposed)'!P115+'Combustion (Proposed)'!P183</f>
        <v>2.5889235294117649E-4</v>
      </c>
      <c r="N41" s="391">
        <f>'Combustion (Proposed)'!N50+'Combustion (Proposed)'!Q115+'Combustion (Proposed)'!Q183</f>
        <v>2.5889235294117649E-4</v>
      </c>
      <c r="O41" s="616"/>
      <c r="Q41" s="636"/>
      <c r="R41" s="637"/>
      <c r="S41" s="638"/>
      <c r="T41" s="639"/>
      <c r="U41" s="639"/>
      <c r="V41" s="639"/>
      <c r="W41" s="639"/>
      <c r="X41" s="639"/>
      <c r="Y41" s="639"/>
      <c r="Z41" s="639"/>
      <c r="AA41" s="640"/>
      <c r="AB41" s="641"/>
    </row>
    <row r="42" spans="1:28" x14ac:dyDescent="0.2">
      <c r="A42" s="397" t="s">
        <v>142</v>
      </c>
      <c r="B42" s="618" t="s">
        <v>292</v>
      </c>
      <c r="C42" s="390">
        <f>'Combustion (Proposed)'!L45</f>
        <v>1.8627450980392158E-6</v>
      </c>
      <c r="D42" s="385">
        <f>'Combustion (Proposed)'!M45</f>
        <v>8.1588235294117654E-6</v>
      </c>
      <c r="E42" s="385">
        <f>'Combustion (Proposed)'!N45</f>
        <v>8.1588235294117654E-6</v>
      </c>
      <c r="F42" s="385">
        <f>'Combustion (Proposed)'!O110</f>
        <v>6.5494117647058819E-6</v>
      </c>
      <c r="G42" s="385">
        <f>'Combustion (Proposed)'!P110</f>
        <v>2.8686423529411763E-5</v>
      </c>
      <c r="H42" s="385">
        <f>'Combustion (Proposed)'!Q110</f>
        <v>2.8686423529411763E-5</v>
      </c>
      <c r="I42" s="385">
        <f>'Combustion (Proposed)'!O178</f>
        <v>3.650980392156863E-5</v>
      </c>
      <c r="J42" s="385">
        <f>'Combustion (Proposed)'!P178</f>
        <v>1.5991294117647059E-4</v>
      </c>
      <c r="K42" s="385">
        <f>'Combustion (Proposed)'!Q178</f>
        <v>1.5991294117647059E-4</v>
      </c>
      <c r="L42" s="386">
        <f t="shared" si="0"/>
        <v>4.4921960784313727E-5</v>
      </c>
      <c r="M42" s="386">
        <f t="shared" si="0"/>
        <v>1.9675818823529411E-4</v>
      </c>
      <c r="N42" s="391">
        <f t="shared" si="0"/>
        <v>1.9675818823529411E-4</v>
      </c>
      <c r="O42" s="616"/>
      <c r="P42">
        <v>12</v>
      </c>
      <c r="Q42" s="412" t="s">
        <v>142</v>
      </c>
      <c r="R42" s="414" t="s">
        <v>292</v>
      </c>
      <c r="S42" s="407">
        <v>1.9000000000000001E-5</v>
      </c>
      <c r="T42" s="408">
        <v>8.3220000000000006E-5</v>
      </c>
      <c r="U42" s="408">
        <v>1.8627450980392158E-6</v>
      </c>
      <c r="V42" s="408">
        <v>8.1588235294117654E-6</v>
      </c>
      <c r="W42" s="408">
        <v>6.5494117647058819E-6</v>
      </c>
      <c r="X42" s="408">
        <v>2.8686423529411763E-5</v>
      </c>
      <c r="Y42" s="408">
        <v>1.3784313725490197E-5</v>
      </c>
      <c r="Z42" s="408">
        <v>6.0375294117647064E-5</v>
      </c>
      <c r="AA42" s="409">
        <v>4.1196470588235294E-5</v>
      </c>
      <c r="AB42" s="410">
        <v>1.8044054117647061E-4</v>
      </c>
    </row>
    <row r="43" spans="1:28" x14ac:dyDescent="0.2">
      <c r="A43" s="397" t="s">
        <v>143</v>
      </c>
      <c r="B43" s="618" t="s">
        <v>291</v>
      </c>
      <c r="C43" s="390">
        <f>'Combustion (Proposed)'!L46</f>
        <v>1.2745098039215686E-6</v>
      </c>
      <c r="D43" s="385">
        <f>'Combustion (Proposed)'!M46</f>
        <v>5.5823529411764704E-6</v>
      </c>
      <c r="E43" s="385">
        <f>'Combustion (Proposed)'!N46</f>
        <v>5.5823529411764704E-6</v>
      </c>
      <c r="F43" s="385">
        <f>'Combustion (Proposed)'!O111</f>
        <v>4.4811764705882347E-6</v>
      </c>
      <c r="G43" s="385">
        <f>'Combustion (Proposed)'!P111</f>
        <v>1.9627552941176469E-5</v>
      </c>
      <c r="H43" s="385">
        <f>'Combustion (Proposed)'!Q111</f>
        <v>1.9627552941176469E-5</v>
      </c>
      <c r="I43" s="385">
        <f>'Combustion (Proposed)'!O179</f>
        <v>2.4980392156862747E-5</v>
      </c>
      <c r="J43" s="385">
        <f>'Combustion (Proposed)'!P179</f>
        <v>1.0941411764705882E-4</v>
      </c>
      <c r="K43" s="385">
        <f>'Combustion (Proposed)'!Q179</f>
        <v>1.0941411764705882E-4</v>
      </c>
      <c r="L43" s="386">
        <f t="shared" si="0"/>
        <v>3.0736078431372547E-5</v>
      </c>
      <c r="M43" s="386">
        <f t="shared" si="0"/>
        <v>1.3462402352941175E-4</v>
      </c>
      <c r="N43" s="391">
        <f t="shared" si="0"/>
        <v>1.3462402352941175E-4</v>
      </c>
      <c r="O43" s="616"/>
      <c r="Q43" s="397" t="s">
        <v>143</v>
      </c>
      <c r="R43" s="398" t="s">
        <v>291</v>
      </c>
      <c r="S43" s="390">
        <v>1.2999999999999999E-5</v>
      </c>
      <c r="T43" s="385">
        <v>5.694E-5</v>
      </c>
      <c r="U43" s="385">
        <v>1.2745098039215686E-6</v>
      </c>
      <c r="V43" s="385">
        <v>5.5823529411764704E-6</v>
      </c>
      <c r="W43" s="385">
        <v>4.4811764705882347E-6</v>
      </c>
      <c r="X43" s="385">
        <v>1.9627552941176469E-5</v>
      </c>
      <c r="Y43" s="385">
        <v>9.4313725490196083E-6</v>
      </c>
      <c r="Z43" s="385">
        <v>4.1309411764705883E-5</v>
      </c>
      <c r="AA43" s="386">
        <v>2.8187058823529408E-5</v>
      </c>
      <c r="AB43" s="391">
        <v>1.2345931764705883E-4</v>
      </c>
    </row>
    <row r="44" spans="1:28" ht="13.5" thickBot="1" x14ac:dyDescent="0.25">
      <c r="A44" s="397" t="s">
        <v>144</v>
      </c>
      <c r="B44" s="618" t="s">
        <v>293</v>
      </c>
      <c r="C44" s="390">
        <f>'Combustion (Proposed)'!L47</f>
        <v>1.0294117647058823E-5</v>
      </c>
      <c r="D44" s="385">
        <f>'Combustion (Proposed)'!M47</f>
        <v>4.5088235294117644E-5</v>
      </c>
      <c r="E44" s="385">
        <f>'Combustion (Proposed)'!N47</f>
        <v>4.5088235294117644E-5</v>
      </c>
      <c r="F44" s="385">
        <f>'Combustion (Proposed)'!O112</f>
        <v>3.6194117647058815E-5</v>
      </c>
      <c r="G44" s="385">
        <f>'Combustion (Proposed)'!P112</f>
        <v>1.5853023529411762E-4</v>
      </c>
      <c r="H44" s="385">
        <f>'Combustion (Proposed)'!Q112</f>
        <v>1.5853023529411762E-4</v>
      </c>
      <c r="I44" s="385">
        <f>'Combustion (Proposed)'!O180</f>
        <v>2.0176470588235295E-4</v>
      </c>
      <c r="J44" s="385">
        <f>'Combustion (Proposed)'!P180</f>
        <v>8.8372941176470586E-4</v>
      </c>
      <c r="K44" s="385">
        <f>'Combustion (Proposed)'!Q180</f>
        <v>8.8372941176470586E-4</v>
      </c>
      <c r="L44" s="386">
        <f t="shared" si="0"/>
        <v>2.482529411764706E-4</v>
      </c>
      <c r="M44" s="386">
        <f t="shared" si="0"/>
        <v>1.0873478823529412E-3</v>
      </c>
      <c r="N44" s="391">
        <f t="shared" si="0"/>
        <v>1.0873478823529412E-3</v>
      </c>
      <c r="O44" s="616"/>
      <c r="Q44" s="402" t="s">
        <v>144</v>
      </c>
      <c r="R44" s="403" t="s">
        <v>293</v>
      </c>
      <c r="S44" s="392">
        <v>1.05E-4</v>
      </c>
      <c r="T44" s="393">
        <v>4.5990000000000001E-4</v>
      </c>
      <c r="U44" s="393">
        <v>1.0294117647058823E-5</v>
      </c>
      <c r="V44" s="393">
        <v>4.5088235294117644E-5</v>
      </c>
      <c r="W44" s="393">
        <v>3.6194117647058815E-5</v>
      </c>
      <c r="X44" s="393">
        <v>1.5853023529411762E-4</v>
      </c>
      <c r="Y44" s="393">
        <v>7.6176470588235301E-5</v>
      </c>
      <c r="Z44" s="393">
        <v>3.3365294117647062E-4</v>
      </c>
      <c r="AA44" s="394">
        <v>2.2766470588235296E-4</v>
      </c>
      <c r="AB44" s="395">
        <v>9.9717141176470592E-4</v>
      </c>
    </row>
    <row r="45" spans="1:28" ht="13.5" thickBot="1" x14ac:dyDescent="0.25">
      <c r="A45" s="402" t="s">
        <v>145</v>
      </c>
      <c r="B45" s="620" t="s">
        <v>294</v>
      </c>
      <c r="C45" s="392">
        <f>'Combustion (Proposed)'!L48</f>
        <v>1.1764705882352942E-7</v>
      </c>
      <c r="D45" s="393">
        <f>'Combustion (Proposed)'!M48</f>
        <v>5.1529411764705885E-7</v>
      </c>
      <c r="E45" s="393">
        <f>'Combustion (Proposed)'!N48</f>
        <v>5.1529411764705885E-7</v>
      </c>
      <c r="F45" s="393">
        <f>'Combustion (Proposed)'!O113</f>
        <v>4.1364705882352939E-7</v>
      </c>
      <c r="G45" s="393">
        <f>'Combustion (Proposed)'!P113</f>
        <v>1.8117741176470586E-6</v>
      </c>
      <c r="H45" s="393">
        <f>'Combustion (Proposed)'!Q113</f>
        <v>1.8117741176470586E-6</v>
      </c>
      <c r="I45" s="393">
        <f>'Combustion (Proposed)'!O181</f>
        <v>2.3058823529411766E-6</v>
      </c>
      <c r="J45" s="393">
        <f>'Combustion (Proposed)'!P181</f>
        <v>1.0099764705882353E-5</v>
      </c>
      <c r="K45" s="393">
        <f>'Combustion (Proposed)'!Q181</f>
        <v>1.0099764705882353E-5</v>
      </c>
      <c r="L45" s="394">
        <f t="shared" si="0"/>
        <v>2.8371764705882353E-6</v>
      </c>
      <c r="M45" s="394">
        <f t="shared" si="0"/>
        <v>1.242683294117647E-5</v>
      </c>
      <c r="N45" s="395">
        <f t="shared" si="0"/>
        <v>1.242683294117647E-5</v>
      </c>
      <c r="O45" s="616"/>
      <c r="P45">
        <v>13</v>
      </c>
      <c r="Q45" s="416" t="s">
        <v>145</v>
      </c>
      <c r="R45" s="417" t="s">
        <v>294</v>
      </c>
      <c r="S45" s="418">
        <v>1.2000000000000002E-6</v>
      </c>
      <c r="T45" s="419">
        <v>5.256000000000001E-6</v>
      </c>
      <c r="U45" s="419">
        <v>1.1764705882352942E-7</v>
      </c>
      <c r="V45" s="419">
        <v>5.1529411764705885E-7</v>
      </c>
      <c r="W45" s="419">
        <v>4.1364705882352939E-7</v>
      </c>
      <c r="X45" s="419">
        <v>1.8117741176470586E-6</v>
      </c>
      <c r="Y45" s="419">
        <v>8.7058823529411776E-7</v>
      </c>
      <c r="Z45" s="419">
        <v>3.8131764705882358E-6</v>
      </c>
      <c r="AA45" s="420">
        <v>2.6018823529411768E-6</v>
      </c>
      <c r="AB45" s="421">
        <v>1.1396244705882355E-5</v>
      </c>
    </row>
    <row r="46" spans="1:28" x14ac:dyDescent="0.2">
      <c r="A46" s="925" t="s">
        <v>562</v>
      </c>
      <c r="B46" s="926"/>
      <c r="C46" s="927"/>
      <c r="D46" s="927"/>
      <c r="E46" s="927"/>
      <c r="F46" s="927"/>
      <c r="G46" s="927"/>
      <c r="H46" s="927"/>
      <c r="I46" s="928"/>
      <c r="J46" s="928"/>
      <c r="K46" s="928"/>
      <c r="L46" s="927"/>
      <c r="M46" s="927"/>
      <c r="N46" s="927"/>
    </row>
    <row r="47" spans="1:28" x14ac:dyDescent="0.2">
      <c r="I47" s="384"/>
      <c r="J47" s="384"/>
      <c r="K47" s="384"/>
      <c r="N47" s="384"/>
      <c r="O47" s="384"/>
    </row>
  </sheetData>
  <mergeCells count="12">
    <mergeCell ref="AA5:AB5"/>
    <mergeCell ref="C5:D5"/>
    <mergeCell ref="F5:G5"/>
    <mergeCell ref="I5:J5"/>
    <mergeCell ref="L5:N5"/>
    <mergeCell ref="S5:T5"/>
    <mergeCell ref="U5:V5"/>
    <mergeCell ref="A1:N1"/>
    <mergeCell ref="A2:N2"/>
    <mergeCell ref="A3:N3"/>
    <mergeCell ref="W5:X5"/>
    <mergeCell ref="Y5:Z5"/>
  </mergeCells>
  <pageMargins left="0.7" right="0.7" top="0.75" bottom="0.75" header="0.3" footer="0.3"/>
  <pageSetup scale="56" orientation="portrait" horizontalDpi="1200" verticalDpi="1200" r:id="rId1"/>
  <colBreaks count="1" manualBreakCount="1">
    <brk id="15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Y185"/>
  <sheetViews>
    <sheetView view="pageBreakPreview" topLeftCell="A3" zoomScaleNormal="110" zoomScaleSheetLayoutView="100" workbookViewId="0">
      <selection activeCell="A20" sqref="A20"/>
    </sheetView>
  </sheetViews>
  <sheetFormatPr defaultRowHeight="12.75" x14ac:dyDescent="0.2"/>
  <cols>
    <col min="1" max="1" width="9.7109375" customWidth="1"/>
    <col min="2" max="2" width="10.85546875" customWidth="1"/>
    <col min="3" max="3" width="9.7109375" customWidth="1"/>
    <col min="4" max="4" width="21.140625" customWidth="1"/>
    <col min="5" max="5" width="6.28515625" style="1" bestFit="1" customWidth="1"/>
    <col min="6" max="6" width="6.5703125" style="1" bestFit="1" customWidth="1"/>
    <col min="7" max="7" width="6.140625" style="1" bestFit="1" customWidth="1"/>
    <col min="8" max="8" width="6.28515625" style="1" bestFit="1" customWidth="1"/>
    <col min="9" max="9" width="6.5703125" style="1" bestFit="1" customWidth="1"/>
    <col min="10" max="10" width="6.140625" style="1" bestFit="1" customWidth="1"/>
    <col min="11" max="11" width="6.28515625" style="1" bestFit="1" customWidth="1"/>
    <col min="12" max="12" width="6.5703125" style="1" bestFit="1" customWidth="1"/>
    <col min="13" max="13" width="6.140625" style="1" bestFit="1" customWidth="1"/>
    <col min="14" max="15" width="7.140625" style="1" bestFit="1" customWidth="1"/>
    <col min="16" max="16" width="7.140625" style="1" customWidth="1"/>
    <col min="17" max="17" width="6.28515625" style="1" bestFit="1" customWidth="1"/>
    <col min="18" max="18" width="6.5703125" style="1" bestFit="1" customWidth="1"/>
    <col min="19" max="19" width="7.140625" style="1" bestFit="1" customWidth="1"/>
    <col min="20" max="20" width="9.7109375" customWidth="1"/>
    <col min="21" max="21" width="10.85546875" customWidth="1"/>
    <col min="22" max="22" width="9.7109375" customWidth="1"/>
    <col min="23" max="23" width="21.140625" customWidth="1"/>
    <col min="24" max="24" width="6.28515625" style="1" bestFit="1" customWidth="1"/>
    <col min="25" max="26" width="5.5703125" style="1" bestFit="1" customWidth="1"/>
    <col min="27" max="27" width="6.28515625" style="1" bestFit="1" customWidth="1"/>
    <col min="28" max="29" width="5.5703125" style="1" bestFit="1" customWidth="1"/>
    <col min="30" max="31" width="6.5703125" style="1" bestFit="1" customWidth="1"/>
    <col min="32" max="32" width="7.28515625" style="1" customWidth="1"/>
    <col min="33" max="38" width="6.140625" style="1" customWidth="1"/>
  </cols>
  <sheetData>
    <row r="1" spans="1:51" ht="18" customHeight="1" x14ac:dyDescent="0.25">
      <c r="A1" s="944" t="s">
        <v>457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 t="s">
        <v>457</v>
      </c>
      <c r="U1" s="944"/>
      <c r="V1" s="944"/>
      <c r="W1" s="944"/>
      <c r="X1" s="944"/>
      <c r="Y1" s="944"/>
      <c r="Z1" s="944"/>
      <c r="AA1" s="944"/>
      <c r="AB1" s="944"/>
      <c r="AC1" s="944"/>
      <c r="AD1" s="944"/>
      <c r="AE1" s="944"/>
      <c r="AF1" s="944"/>
      <c r="AG1" s="944"/>
      <c r="AH1" s="944"/>
      <c r="AI1" s="944"/>
      <c r="AJ1" s="944"/>
      <c r="AK1" s="944"/>
      <c r="AL1" s="944"/>
    </row>
    <row r="2" spans="1:51" ht="15.75" x14ac:dyDescent="0.25">
      <c r="A2" s="945" t="s">
        <v>603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 t="s">
        <v>604</v>
      </c>
      <c r="U2" s="945"/>
      <c r="V2" s="945"/>
      <c r="W2" s="945"/>
      <c r="X2" s="945"/>
      <c r="Y2" s="945"/>
      <c r="Z2" s="945"/>
      <c r="AA2" s="945"/>
      <c r="AB2" s="945"/>
      <c r="AC2" s="945"/>
      <c r="AD2" s="945"/>
      <c r="AE2" s="945"/>
      <c r="AF2" s="945"/>
      <c r="AG2" s="945"/>
      <c r="AH2" s="945"/>
      <c r="AI2" s="945"/>
      <c r="AJ2" s="945"/>
      <c r="AK2" s="945"/>
      <c r="AL2" s="945"/>
    </row>
    <row r="3" spans="1:51" ht="13.5" thickBot="1" x14ac:dyDescent="0.25">
      <c r="E3" s="168"/>
      <c r="F3" s="168"/>
    </row>
    <row r="4" spans="1:51" s="9" customFormat="1" ht="14.25" thickTop="1" thickBot="1" x14ac:dyDescent="0.25">
      <c r="A4" s="652"/>
      <c r="B4" s="653"/>
      <c r="C4" s="653"/>
      <c r="D4" s="471"/>
      <c r="E4" s="946" t="s">
        <v>10</v>
      </c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8"/>
      <c r="T4" s="652"/>
      <c r="U4" s="653"/>
      <c r="V4" s="653"/>
      <c r="W4" s="471"/>
      <c r="X4" s="946" t="s">
        <v>10</v>
      </c>
      <c r="Y4" s="947"/>
      <c r="Z4" s="947"/>
      <c r="AA4" s="947"/>
      <c r="AB4" s="947"/>
      <c r="AC4" s="947"/>
      <c r="AD4" s="947"/>
      <c r="AE4" s="947"/>
      <c r="AF4" s="947"/>
      <c r="AG4" s="947"/>
      <c r="AH4" s="947"/>
      <c r="AI4" s="947"/>
      <c r="AJ4" s="947"/>
      <c r="AK4" s="947"/>
      <c r="AL4" s="948"/>
    </row>
    <row r="5" spans="1:51" s="9" customFormat="1" ht="15" thickTop="1" x14ac:dyDescent="0.25">
      <c r="A5" s="625" t="s">
        <v>244</v>
      </c>
      <c r="B5" s="625" t="s">
        <v>355</v>
      </c>
      <c r="C5" s="625" t="s">
        <v>246</v>
      </c>
      <c r="D5" s="626" t="s">
        <v>356</v>
      </c>
      <c r="E5" s="943" t="s">
        <v>9</v>
      </c>
      <c r="F5" s="938"/>
      <c r="G5" s="934"/>
      <c r="H5" s="932" t="s">
        <v>8</v>
      </c>
      <c r="I5" s="933"/>
      <c r="J5" s="934"/>
      <c r="K5" s="932" t="s">
        <v>7</v>
      </c>
      <c r="L5" s="933"/>
      <c r="M5" s="934"/>
      <c r="N5" s="932" t="s">
        <v>220</v>
      </c>
      <c r="O5" s="933"/>
      <c r="P5" s="934"/>
      <c r="Q5" s="938" t="s">
        <v>152</v>
      </c>
      <c r="R5" s="933"/>
      <c r="S5" s="940"/>
      <c r="T5" s="625" t="s">
        <v>244</v>
      </c>
      <c r="U5" s="625" t="s">
        <v>355</v>
      </c>
      <c r="V5" s="625" t="s">
        <v>246</v>
      </c>
      <c r="W5" s="626" t="s">
        <v>356</v>
      </c>
      <c r="X5" s="943" t="s">
        <v>189</v>
      </c>
      <c r="Y5" s="933"/>
      <c r="Z5" s="934"/>
      <c r="AA5" s="932" t="s">
        <v>6</v>
      </c>
      <c r="AB5" s="933"/>
      <c r="AC5" s="934"/>
      <c r="AD5" s="932" t="s">
        <v>221</v>
      </c>
      <c r="AE5" s="933"/>
      <c r="AF5" s="934"/>
      <c r="AG5" s="935" t="s">
        <v>232</v>
      </c>
      <c r="AH5" s="936"/>
      <c r="AI5" s="937"/>
      <c r="AJ5" s="938" t="s">
        <v>222</v>
      </c>
      <c r="AK5" s="939"/>
      <c r="AL5" s="940"/>
      <c r="AN5" s="353"/>
      <c r="AO5" s="353"/>
      <c r="AP5" s="353"/>
      <c r="AQ5" s="353"/>
      <c r="AR5" s="353"/>
      <c r="AS5" s="353"/>
      <c r="AT5" s="353"/>
      <c r="AU5" s="353"/>
      <c r="AV5" s="353"/>
      <c r="AW5" s="353"/>
      <c r="AX5" s="353"/>
      <c r="AY5" s="353"/>
    </row>
    <row r="6" spans="1:51" ht="27.75" customHeight="1" thickBot="1" x14ac:dyDescent="0.25">
      <c r="A6" s="166" t="s">
        <v>245</v>
      </c>
      <c r="B6" s="166" t="s">
        <v>356</v>
      </c>
      <c r="C6" s="166" t="s">
        <v>247</v>
      </c>
      <c r="D6" s="472" t="s">
        <v>357</v>
      </c>
      <c r="E6" s="111" t="s">
        <v>5</v>
      </c>
      <c r="F6" s="624" t="s">
        <v>560</v>
      </c>
      <c r="G6" s="654" t="s">
        <v>561</v>
      </c>
      <c r="H6" s="658" t="s">
        <v>5</v>
      </c>
      <c r="I6" s="624" t="s">
        <v>560</v>
      </c>
      <c r="J6" s="654" t="s">
        <v>561</v>
      </c>
      <c r="K6" s="658" t="s">
        <v>5</v>
      </c>
      <c r="L6" s="624" t="s">
        <v>560</v>
      </c>
      <c r="M6" s="654" t="s">
        <v>561</v>
      </c>
      <c r="N6" s="658" t="s">
        <v>5</v>
      </c>
      <c r="O6" s="624" t="s">
        <v>560</v>
      </c>
      <c r="P6" s="654" t="s">
        <v>561</v>
      </c>
      <c r="Q6" s="8" t="s">
        <v>5</v>
      </c>
      <c r="R6" s="624" t="s">
        <v>560</v>
      </c>
      <c r="S6" s="627" t="s">
        <v>561</v>
      </c>
      <c r="T6" s="166" t="s">
        <v>245</v>
      </c>
      <c r="U6" s="166" t="s">
        <v>356</v>
      </c>
      <c r="V6" s="166" t="s">
        <v>247</v>
      </c>
      <c r="W6" s="472" t="s">
        <v>357</v>
      </c>
      <c r="X6" s="111" t="s">
        <v>5</v>
      </c>
      <c r="Y6" s="624" t="s">
        <v>560</v>
      </c>
      <c r="Z6" s="654" t="s">
        <v>561</v>
      </c>
      <c r="AA6" s="658" t="s">
        <v>5</v>
      </c>
      <c r="AB6" s="624" t="s">
        <v>560</v>
      </c>
      <c r="AC6" s="654" t="s">
        <v>561</v>
      </c>
      <c r="AD6" s="658" t="s">
        <v>5</v>
      </c>
      <c r="AE6" s="624" t="s">
        <v>560</v>
      </c>
      <c r="AF6" s="654" t="s">
        <v>561</v>
      </c>
      <c r="AG6" s="658" t="s">
        <v>5</v>
      </c>
      <c r="AH6" s="624" t="s">
        <v>560</v>
      </c>
      <c r="AI6" s="654" t="s">
        <v>561</v>
      </c>
      <c r="AJ6" s="8" t="s">
        <v>5</v>
      </c>
      <c r="AK6" s="624" t="s">
        <v>560</v>
      </c>
      <c r="AL6" s="627" t="s">
        <v>561</v>
      </c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</row>
    <row r="7" spans="1:51" s="815" customFormat="1" ht="13.5" customHeight="1" thickTop="1" x14ac:dyDescent="0.2">
      <c r="A7" s="820" t="s">
        <v>613</v>
      </c>
      <c r="B7" s="821" t="s">
        <v>233</v>
      </c>
      <c r="C7" s="821" t="s">
        <v>636</v>
      </c>
      <c r="D7" s="903" t="s">
        <v>360</v>
      </c>
      <c r="E7" s="823">
        <f>'Boiler 1 (Proposed)'!O52</f>
        <v>1.2020999250026785</v>
      </c>
      <c r="F7" s="784">
        <f>'Boiler 1 (Proposed)'!P52</f>
        <v>5.2651976715117312</v>
      </c>
      <c r="G7" s="669">
        <f>'Boiler 1 (Proposed)'!Q52</f>
        <v>5.2651976715117312</v>
      </c>
      <c r="H7" s="668">
        <f>'Boiler 1 (Proposed)'!O53</f>
        <v>0.83782722045641234</v>
      </c>
      <c r="I7" s="135">
        <f>'Boiler 1 (Proposed)'!P53</f>
        <v>3.6696832255990861</v>
      </c>
      <c r="J7" s="669">
        <f>'Boiler 1 (Proposed)'!Q53</f>
        <v>3.6696832255990861</v>
      </c>
      <c r="K7" s="668">
        <f>'Boiler 1 (Proposed)'!O54</f>
        <v>0.56097996500125002</v>
      </c>
      <c r="L7" s="135">
        <f>'Boiler 1 (Proposed)'!P54</f>
        <v>2.457092246705475</v>
      </c>
      <c r="M7" s="669">
        <f>'Boiler 1 (Proposed)'!Q54</f>
        <v>2.457092246705475</v>
      </c>
      <c r="N7" s="668">
        <f>'Boiler 1 (Proposed)'!O55</f>
        <v>6.375</v>
      </c>
      <c r="O7" s="135">
        <f>'Boiler 1 (Proposed)'!P55</f>
        <v>27.922499999999999</v>
      </c>
      <c r="P7" s="669">
        <f>'Boiler 1 (Proposed)'!Q55</f>
        <v>27.922499999999999</v>
      </c>
      <c r="Q7" s="784">
        <f>'Boiler 1 (Proposed)'!O56</f>
        <v>5.2272498207821227</v>
      </c>
      <c r="R7" s="135">
        <f>'Boiler 1 (Proposed)'!P56</f>
        <v>22.895354215025698</v>
      </c>
      <c r="S7" s="785">
        <f>'Boiler 1 (Proposed)'!Q56</f>
        <v>22.895354215025698</v>
      </c>
      <c r="T7" s="820" t="s">
        <v>613</v>
      </c>
      <c r="U7" s="821" t="s">
        <v>233</v>
      </c>
      <c r="V7" s="821" t="s">
        <v>636</v>
      </c>
      <c r="W7" s="903" t="s">
        <v>360</v>
      </c>
      <c r="X7" s="823">
        <f>'Boiler 1 (Proposed)'!O58</f>
        <v>4.2</v>
      </c>
      <c r="Y7" s="135">
        <f>'Boiler 1 (Proposed)'!P58</f>
        <v>18.396000000000001</v>
      </c>
      <c r="Z7" s="669">
        <f>'Boiler 1 (Proposed)'!Q58</f>
        <v>18.396000000000001</v>
      </c>
      <c r="AA7" s="668">
        <f>'Boiler 1 (Proposed)'!O57</f>
        <v>0.4459016393442623</v>
      </c>
      <c r="AB7" s="135">
        <f>'Boiler 1 (Proposed)'!P57</f>
        <v>1.9530491803278689</v>
      </c>
      <c r="AC7" s="669">
        <f>'Boiler 1 (Proposed)'!Q57</f>
        <v>1.9530491803278689</v>
      </c>
      <c r="AD7" s="779">
        <f>'Boiler 1 (Proposed)'!O65</f>
        <v>9221.2844999999998</v>
      </c>
      <c r="AE7" s="780">
        <f>'Boiler 1 (Proposed)'!P65</f>
        <v>40389.226109999996</v>
      </c>
      <c r="AF7" s="781">
        <f>'Boiler 1 (Proposed)'!Q65</f>
        <v>40389.226109999996</v>
      </c>
      <c r="AG7" s="782">
        <f>'Boiler 1 (Proposed)'!O30</f>
        <v>9.0000000000000011E-2</v>
      </c>
      <c r="AH7" s="783">
        <f>'Boiler 1 (Proposed)'!P30</f>
        <v>0.39420000000000005</v>
      </c>
      <c r="AI7" s="669">
        <f>'Boiler 1 (Proposed)'!Q30</f>
        <v>0.39420000000000005</v>
      </c>
      <c r="AJ7" s="784">
        <f>'Boiler 1 (Proposed)'!O50</f>
        <v>9.4457849999999996E-2</v>
      </c>
      <c r="AK7" s="135">
        <f>'Boiler 1 (Proposed)'!P50</f>
        <v>0.41372538299999995</v>
      </c>
      <c r="AL7" s="785">
        <f>'Boiler 1 (Proposed)'!Q50</f>
        <v>0.41372538299999995</v>
      </c>
      <c r="AN7" s="350"/>
      <c r="AO7" s="350"/>
      <c r="AP7" s="350"/>
      <c r="AQ7" s="350"/>
      <c r="AR7" s="350"/>
      <c r="AS7" s="350"/>
      <c r="AT7" s="352"/>
      <c r="AU7" s="352"/>
      <c r="AV7" s="350"/>
      <c r="AW7" s="350"/>
      <c r="AX7" s="350"/>
      <c r="AY7" s="350"/>
    </row>
    <row r="8" spans="1:51" s="815" customFormat="1" x14ac:dyDescent="0.2">
      <c r="A8" s="820" t="s">
        <v>614</v>
      </c>
      <c r="B8" s="821" t="s">
        <v>627</v>
      </c>
      <c r="C8" s="821" t="s">
        <v>637</v>
      </c>
      <c r="D8" s="903" t="s">
        <v>358</v>
      </c>
      <c r="E8" s="823">
        <f>'Combustion (Proposed)'!L51+'EQUI 4'!H36</f>
        <v>1.4719705808826156</v>
      </c>
      <c r="F8" s="784">
        <f>'Combustion (Proposed)'!M51+'EQUI 4'!J36</f>
        <v>59.826548791324676</v>
      </c>
      <c r="G8" s="669">
        <f>'Combustion (Proposed)'!N51+'EQUI 4'!I36</f>
        <v>6.4472311442658565</v>
      </c>
      <c r="H8" s="668">
        <f>'Combustion (Proposed)'!L52+'EQUI 4'!H37</f>
        <v>1.302139923574158</v>
      </c>
      <c r="I8" s="135">
        <f>'Combustion (Proposed)'!M52+'EQUI 4'!J37</f>
        <v>53.795772865254804</v>
      </c>
      <c r="J8" s="669">
        <f>'Combustion (Proposed)'!N52+'EQUI 4'!I37</f>
        <v>5.7033728652548117</v>
      </c>
      <c r="K8" s="668">
        <f>'Combustion (Proposed)'!L53+'EQUI 4'!H38</f>
        <v>0.78359046000457977</v>
      </c>
      <c r="L8" s="135">
        <f>'Combustion (Proposed)'!M53+'EQUI 4'!J38</f>
        <v>32.139161508937704</v>
      </c>
      <c r="M8" s="669">
        <f>'Combustion (Proposed)'!N53+'EQUI 4'!I38</f>
        <v>3.4321262148200593</v>
      </c>
      <c r="N8" s="668">
        <f>'Combustion (Proposed)'!L54</f>
        <v>0.25356237277240107</v>
      </c>
      <c r="O8" s="135">
        <f>'Combustion (Proposed)'!M54</f>
        <v>1.1106031927431168</v>
      </c>
      <c r="P8" s="669">
        <f>'Combustion (Proposed)'!N54</f>
        <v>1.1106031927431168</v>
      </c>
      <c r="Q8" s="784">
        <f>'Combustion (Proposed)'!L55</f>
        <v>0.71426020499267895</v>
      </c>
      <c r="R8" s="135">
        <f>'Combustion (Proposed)'!M55</f>
        <v>3.1284596978679335</v>
      </c>
      <c r="S8" s="785">
        <f>'Combustion (Proposed)'!N55</f>
        <v>3.1284596978679335</v>
      </c>
      <c r="T8" s="820" t="s">
        <v>614</v>
      </c>
      <c r="U8" s="821" t="s">
        <v>627</v>
      </c>
      <c r="V8" s="821" t="s">
        <v>637</v>
      </c>
      <c r="W8" s="903" t="s">
        <v>358</v>
      </c>
      <c r="X8" s="823">
        <f>'Combustion (Proposed)'!L57</f>
        <v>0.41176470588235292</v>
      </c>
      <c r="Y8" s="135">
        <f>'Combustion (Proposed)'!M57</f>
        <v>1.8035294117647058</v>
      </c>
      <c r="Z8" s="669">
        <f>'Combustion (Proposed)'!N57</f>
        <v>1.8035294117647058</v>
      </c>
      <c r="AA8" s="668">
        <f>'Combustion (Proposed)'!O121+'EQUI 4'!H39</f>
        <v>0.24370491803278688</v>
      </c>
      <c r="AB8" s="135">
        <f>'Combustion (Proposed)'!P121+'EQUI 4'!I39</f>
        <v>1.0674275409836067</v>
      </c>
      <c r="AC8" s="669">
        <f>'Combustion (Proposed)'!Q121+'EQUI 4'!I39</f>
        <v>1.0674275409836067</v>
      </c>
      <c r="AD8" s="779">
        <f>'Combustion (Proposed)'!L62</f>
        <v>799.21359951430338</v>
      </c>
      <c r="AE8" s="780">
        <f>'Combustion (Proposed)'!M62</f>
        <v>3500.5555658726489</v>
      </c>
      <c r="AF8" s="781">
        <f>'Combustion (Proposed)'!N62</f>
        <v>3500.5555658726489</v>
      </c>
      <c r="AG8" s="782">
        <f>'Combustion (Proposed)'!L29</f>
        <v>8.8235294117647058E-3</v>
      </c>
      <c r="AH8" s="783">
        <f>'Combustion (Proposed)'!M29</f>
        <v>3.8647058823529416E-2</v>
      </c>
      <c r="AI8" s="669">
        <f>'Combustion (Proposed)'!N29</f>
        <v>3.8647058823529416E-2</v>
      </c>
      <c r="AJ8" s="784">
        <f>'Combustion (Proposed)'!L49</f>
        <v>9.2605735294117638E-3</v>
      </c>
      <c r="AK8" s="135">
        <f>'Combustion (Proposed)'!M49</f>
        <v>4.0561312058823525E-2</v>
      </c>
      <c r="AL8" s="785">
        <f>'Combustion (Proposed)'!N49</f>
        <v>4.0561312058823525E-2</v>
      </c>
      <c r="AN8" s="350"/>
    </row>
    <row r="9" spans="1:51" s="815" customFormat="1" ht="25.5" x14ac:dyDescent="0.2">
      <c r="A9" s="820" t="s">
        <v>615</v>
      </c>
      <c r="B9" s="821" t="s">
        <v>628</v>
      </c>
      <c r="C9" s="821" t="s">
        <v>638</v>
      </c>
      <c r="D9" s="822" t="s">
        <v>579</v>
      </c>
      <c r="E9" s="823">
        <f>'EQUI 20'!E52</f>
        <v>1.0565</v>
      </c>
      <c r="F9" s="784">
        <f>'EQUI 20'!F52</f>
        <v>46.274699999999996</v>
      </c>
      <c r="G9" s="669">
        <f>'EQUI 20'!G52</f>
        <v>4.6274699999999998</v>
      </c>
      <c r="H9" s="668">
        <f>'EQUI 20'!E53</f>
        <v>1.017075</v>
      </c>
      <c r="I9" s="135">
        <f>'EQUI 20'!F53</f>
        <v>44.547884999999994</v>
      </c>
      <c r="J9" s="669">
        <f>'EQUI 20'!G53</f>
        <v>4.4547884999999994</v>
      </c>
      <c r="K9" s="668">
        <f>'EQUI 20'!E54</f>
        <v>0.9678500000000001</v>
      </c>
      <c r="L9" s="135">
        <f>'EQUI 20'!F54</f>
        <v>42.391829999999992</v>
      </c>
      <c r="M9" s="669">
        <f>'EQUI 20'!G54</f>
        <v>4.2391830000000006</v>
      </c>
      <c r="N9" s="824" t="s">
        <v>233</v>
      </c>
      <c r="O9" s="825"/>
      <c r="P9" s="826" t="s">
        <v>233</v>
      </c>
      <c r="Q9" s="827" t="s">
        <v>233</v>
      </c>
      <c r="R9" s="825"/>
      <c r="S9" s="828" t="s">
        <v>233</v>
      </c>
      <c r="T9" s="820" t="s">
        <v>615</v>
      </c>
      <c r="U9" s="821" t="s">
        <v>628</v>
      </c>
      <c r="V9" s="821" t="s">
        <v>638</v>
      </c>
      <c r="W9" s="822" t="s">
        <v>579</v>
      </c>
      <c r="X9" s="829" t="s">
        <v>233</v>
      </c>
      <c r="Y9" s="830"/>
      <c r="Z9" s="831" t="s">
        <v>233</v>
      </c>
      <c r="AA9" s="668">
        <f>'EQUI 20'!E55</f>
        <v>0.17</v>
      </c>
      <c r="AB9" s="135">
        <f>'EQUI 20'!F55</f>
        <v>0.74460000000000004</v>
      </c>
      <c r="AC9" s="669">
        <f>'EQUI 20'!G55</f>
        <v>0.74460000000000004</v>
      </c>
      <c r="AD9" s="824" t="s">
        <v>233</v>
      </c>
      <c r="AE9" s="825"/>
      <c r="AF9" s="826" t="s">
        <v>233</v>
      </c>
      <c r="AG9" s="824" t="s">
        <v>233</v>
      </c>
      <c r="AH9" s="825"/>
      <c r="AI9" s="826" t="s">
        <v>233</v>
      </c>
      <c r="AJ9" s="827" t="s">
        <v>233</v>
      </c>
      <c r="AK9" s="832"/>
      <c r="AL9" s="828" t="s">
        <v>233</v>
      </c>
    </row>
    <row r="10" spans="1:51" s="815" customFormat="1" ht="25.5" x14ac:dyDescent="0.2">
      <c r="A10" s="820" t="s">
        <v>616</v>
      </c>
      <c r="B10" s="833" t="s">
        <v>629</v>
      </c>
      <c r="C10" s="821" t="s">
        <v>639</v>
      </c>
      <c r="D10" s="822" t="s">
        <v>359</v>
      </c>
      <c r="E10" s="823">
        <f>'EQUI 21'!M9</f>
        <v>7.3000000000000061E-3</v>
      </c>
      <c r="F10" s="784">
        <f>'EQUI 21'!O9</f>
        <v>3.1974</v>
      </c>
      <c r="G10" s="669">
        <f>'EQUI 21'!N9</f>
        <v>3.1974000000000023E-2</v>
      </c>
      <c r="H10" s="834">
        <f>'EQUI 21'!M10</f>
        <v>4.7000000000000037E-3</v>
      </c>
      <c r="I10" s="135">
        <f>'EQUI 21'!O10</f>
        <v>2.0585999999999998</v>
      </c>
      <c r="J10" s="669">
        <f>'EQUI 21'!N10</f>
        <v>2.0586000000000014E-2</v>
      </c>
      <c r="K10" s="834">
        <f>'EQUI 21'!M11</f>
        <v>4.7000000000000037E-3</v>
      </c>
      <c r="L10" s="835">
        <f>'EQUI 21'!O11</f>
        <v>2.0585999999999998</v>
      </c>
      <c r="M10" s="669">
        <f>'EQUI 21'!N11</f>
        <v>2.0586000000000014E-2</v>
      </c>
      <c r="N10" s="824" t="s">
        <v>233</v>
      </c>
      <c r="O10" s="825"/>
      <c r="P10" s="826" t="s">
        <v>233</v>
      </c>
      <c r="Q10" s="827" t="s">
        <v>233</v>
      </c>
      <c r="R10" s="825"/>
      <c r="S10" s="828" t="s">
        <v>233</v>
      </c>
      <c r="T10" s="820" t="s">
        <v>616</v>
      </c>
      <c r="U10" s="833" t="s">
        <v>629</v>
      </c>
      <c r="V10" s="821" t="s">
        <v>639</v>
      </c>
      <c r="W10" s="822" t="s">
        <v>359</v>
      </c>
      <c r="X10" s="829" t="s">
        <v>233</v>
      </c>
      <c r="Y10" s="830"/>
      <c r="Z10" s="831" t="s">
        <v>233</v>
      </c>
      <c r="AA10" s="824" t="s">
        <v>233</v>
      </c>
      <c r="AB10" s="825"/>
      <c r="AC10" s="826" t="s">
        <v>233</v>
      </c>
      <c r="AD10" s="824" t="s">
        <v>233</v>
      </c>
      <c r="AE10" s="825"/>
      <c r="AF10" s="826" t="s">
        <v>233</v>
      </c>
      <c r="AG10" s="824" t="s">
        <v>233</v>
      </c>
      <c r="AH10" s="825"/>
      <c r="AI10" s="826" t="s">
        <v>233</v>
      </c>
      <c r="AJ10" s="827" t="s">
        <v>233</v>
      </c>
      <c r="AK10" s="832"/>
      <c r="AL10" s="828" t="s">
        <v>233</v>
      </c>
    </row>
    <row r="11" spans="1:51" s="815" customFormat="1" x14ac:dyDescent="0.2">
      <c r="A11" s="820" t="s">
        <v>617</v>
      </c>
      <c r="B11" s="904" t="s">
        <v>233</v>
      </c>
      <c r="C11" s="821" t="s">
        <v>640</v>
      </c>
      <c r="D11" s="903" t="s">
        <v>361</v>
      </c>
      <c r="E11" s="823">
        <f>'Combustion (Proposed)'!O116</f>
        <v>0.41437091532445264</v>
      </c>
      <c r="F11" s="784">
        <f>'Combustion (Proposed)'!P116</f>
        <v>1.8149446091211026</v>
      </c>
      <c r="G11" s="669">
        <f>'Combustion (Proposed)'!Q116</f>
        <v>1.8149446091211026</v>
      </c>
      <c r="H11" s="668">
        <f>'Combustion (Proposed)'!O117</f>
        <v>0.28880397128673974</v>
      </c>
      <c r="I11" s="135">
        <f>'Combustion (Proposed)'!P117</f>
        <v>1.2649613942359201</v>
      </c>
      <c r="J11" s="669">
        <f>'Combustion (Proposed)'!Q117</f>
        <v>1.2649613942359201</v>
      </c>
      <c r="K11" s="668">
        <f>'Combustion (Proposed)'!O118</f>
        <v>0.19462876325845505</v>
      </c>
      <c r="L11" s="135">
        <f>'Combustion (Proposed)'!P118</f>
        <v>0.85247398307203315</v>
      </c>
      <c r="M11" s="669">
        <f>'Combustion (Proposed)'!Q118</f>
        <v>0.85247398307203315</v>
      </c>
      <c r="N11" s="668">
        <f>'Combustion (Proposed)'!O119</f>
        <v>2.1974999999999998</v>
      </c>
      <c r="O11" s="135">
        <f>'Combustion (Proposed)'!P119</f>
        <v>9.6250499999999999</v>
      </c>
      <c r="P11" s="669">
        <f>'Combustion (Proposed)'!Q119</f>
        <v>9.6250499999999999</v>
      </c>
      <c r="Q11" s="784">
        <f>'Combustion (Proposed)'!O120</f>
        <v>3.139309660988729</v>
      </c>
      <c r="R11" s="135">
        <f>'Combustion (Proposed)'!P120</f>
        <v>13.750176315130632</v>
      </c>
      <c r="S11" s="785">
        <f>'Combustion (Proposed)'!Q120</f>
        <v>13.750176315130632</v>
      </c>
      <c r="T11" s="820" t="s">
        <v>617</v>
      </c>
      <c r="U11" s="904" t="s">
        <v>233</v>
      </c>
      <c r="V11" s="821" t="s">
        <v>640</v>
      </c>
      <c r="W11" s="903" t="s">
        <v>361</v>
      </c>
      <c r="X11" s="823">
        <f>'Combustion (Proposed)'!O122</f>
        <v>1.4477647058823528</v>
      </c>
      <c r="Y11" s="135">
        <f>'Combustion (Proposed)'!P122</f>
        <v>6.341209411764706</v>
      </c>
      <c r="Z11" s="669">
        <f>'Combustion (Proposed)'!Q122</f>
        <v>6.341209411764706</v>
      </c>
      <c r="AA11" s="668">
        <f>'Combustion (Proposed)'!O121</f>
        <v>0.15370491803278688</v>
      </c>
      <c r="AB11" s="135">
        <f>'Combustion (Proposed)'!P121</f>
        <v>0.6732275409836066</v>
      </c>
      <c r="AC11" s="669">
        <f>'Combustion (Proposed)'!Q121</f>
        <v>0.6732275409836066</v>
      </c>
      <c r="AD11" s="786">
        <f>'Combustion (Proposed)'!O129</f>
        <v>3178.6310099999992</v>
      </c>
      <c r="AE11" s="787">
        <f>'Combustion (Proposed)'!P129</f>
        <v>13922.403823799996</v>
      </c>
      <c r="AF11" s="781">
        <f>'Combustion (Proposed)'!Q129</f>
        <v>13922.403823799996</v>
      </c>
      <c r="AG11" s="782">
        <f>'Combustion (Proposed)'!O94</f>
        <v>3.1023529411764703E-2</v>
      </c>
      <c r="AH11" s="783">
        <f>'Combustion (Proposed)'!P94</f>
        <v>0.13588305882352941</v>
      </c>
      <c r="AI11" s="669">
        <f>'Combustion (Proposed)'!Q94</f>
        <v>0.13588305882352941</v>
      </c>
      <c r="AJ11" s="784">
        <f>'Combustion (Proposed)'!O114</f>
        <v>3.2560176529411761E-2</v>
      </c>
      <c r="AK11" s="135">
        <f>'Combustion (Proposed)'!P114</f>
        <v>0.14261357319882351</v>
      </c>
      <c r="AL11" s="785">
        <f>'Combustion (Proposed)'!Q114</f>
        <v>0.14261357319882351</v>
      </c>
      <c r="AN11" s="350"/>
    </row>
    <row r="12" spans="1:51" s="815" customFormat="1" x14ac:dyDescent="0.2">
      <c r="A12" s="820" t="s">
        <v>618</v>
      </c>
      <c r="B12" s="821" t="s">
        <v>630</v>
      </c>
      <c r="C12" s="821" t="s">
        <v>641</v>
      </c>
      <c r="D12" s="822" t="s">
        <v>363</v>
      </c>
      <c r="E12" s="823">
        <f>'EQUI 1, EQUI 2'!M9</f>
        <v>7.3000000000000065E-2</v>
      </c>
      <c r="F12" s="784">
        <f>'EQUI 1, EQUI 2'!O9</f>
        <v>31.974</v>
      </c>
      <c r="G12" s="669">
        <f>'EQUI 1, EQUI 2'!N9</f>
        <v>0.3197400000000003</v>
      </c>
      <c r="H12" s="668">
        <f>'EQUI 1, EQUI 2'!M10</f>
        <v>4.7000000000000035E-2</v>
      </c>
      <c r="I12" s="135">
        <f>'EQUI 1, EQUI 2'!O10</f>
        <v>20.585999999999995</v>
      </c>
      <c r="J12" s="669">
        <f>'EQUI 1, EQUI 2'!N10</f>
        <v>0.20586000000000015</v>
      </c>
      <c r="K12" s="668">
        <f>'EQUI 1, EQUI 2'!M11</f>
        <v>4.7000000000000035E-2</v>
      </c>
      <c r="L12" s="135">
        <f>'EQUI 1, EQUI 2'!O11</f>
        <v>20.585999999999995</v>
      </c>
      <c r="M12" s="669">
        <f>'EQUI 1, EQUI 2'!N11</f>
        <v>0.20586000000000015</v>
      </c>
      <c r="N12" s="824" t="s">
        <v>233</v>
      </c>
      <c r="O12" s="825"/>
      <c r="P12" s="826" t="s">
        <v>233</v>
      </c>
      <c r="Q12" s="827" t="s">
        <v>233</v>
      </c>
      <c r="R12" s="825"/>
      <c r="S12" s="828" t="s">
        <v>233</v>
      </c>
      <c r="T12" s="820" t="s">
        <v>618</v>
      </c>
      <c r="U12" s="821" t="s">
        <v>630</v>
      </c>
      <c r="V12" s="821" t="s">
        <v>641</v>
      </c>
      <c r="W12" s="822" t="s">
        <v>363</v>
      </c>
      <c r="X12" s="829" t="s">
        <v>233</v>
      </c>
      <c r="Y12" s="830"/>
      <c r="Z12" s="831" t="s">
        <v>233</v>
      </c>
      <c r="AA12" s="824" t="s">
        <v>233</v>
      </c>
      <c r="AB12" s="825"/>
      <c r="AC12" s="826" t="s">
        <v>233</v>
      </c>
      <c r="AD12" s="824" t="s">
        <v>233</v>
      </c>
      <c r="AE12" s="825"/>
      <c r="AF12" s="826" t="s">
        <v>233</v>
      </c>
      <c r="AG12" s="824" t="s">
        <v>233</v>
      </c>
      <c r="AH12" s="825"/>
      <c r="AI12" s="826" t="s">
        <v>233</v>
      </c>
      <c r="AJ12" s="827" t="s">
        <v>233</v>
      </c>
      <c r="AK12" s="832"/>
      <c r="AL12" s="828" t="s">
        <v>233</v>
      </c>
    </row>
    <row r="13" spans="1:51" s="815" customFormat="1" x14ac:dyDescent="0.2">
      <c r="A13" s="820" t="s">
        <v>619</v>
      </c>
      <c r="B13" s="821" t="s">
        <v>631</v>
      </c>
      <c r="C13" s="821" t="s">
        <v>642</v>
      </c>
      <c r="D13" s="822" t="s">
        <v>364</v>
      </c>
      <c r="E13" s="823">
        <f>'EQUI 1, EQUI 2'!M20</f>
        <v>7.3000000000000065E-2</v>
      </c>
      <c r="F13" s="784">
        <f>'EQUI 1, EQUI 2'!O20</f>
        <v>31.974</v>
      </c>
      <c r="G13" s="669">
        <f>'EQUI 1, EQUI 2'!N20</f>
        <v>0.3197400000000003</v>
      </c>
      <c r="H13" s="668">
        <f>'EQUI 1, EQUI 2'!M21</f>
        <v>4.7000000000000035E-2</v>
      </c>
      <c r="I13" s="135">
        <f>'EQUI 1, EQUI 2'!O21</f>
        <v>20.585999999999995</v>
      </c>
      <c r="J13" s="669">
        <f>'EQUI 1, EQUI 2'!N21</f>
        <v>0.20586000000000015</v>
      </c>
      <c r="K13" s="668">
        <f>'EQUI 1, EQUI 2'!M22</f>
        <v>4.7000000000000035E-2</v>
      </c>
      <c r="L13" s="135">
        <f>'EQUI 1, EQUI 2'!O22</f>
        <v>20.585999999999995</v>
      </c>
      <c r="M13" s="669">
        <f>'EQUI 1, EQUI 2'!N22</f>
        <v>0.20586000000000015</v>
      </c>
      <c r="N13" s="824" t="s">
        <v>233</v>
      </c>
      <c r="O13" s="825"/>
      <c r="P13" s="826" t="s">
        <v>233</v>
      </c>
      <c r="Q13" s="827" t="s">
        <v>233</v>
      </c>
      <c r="R13" s="825"/>
      <c r="S13" s="828" t="s">
        <v>233</v>
      </c>
      <c r="T13" s="820" t="s">
        <v>619</v>
      </c>
      <c r="U13" s="821" t="s">
        <v>631</v>
      </c>
      <c r="V13" s="821" t="s">
        <v>642</v>
      </c>
      <c r="W13" s="822" t="s">
        <v>364</v>
      </c>
      <c r="X13" s="829" t="s">
        <v>233</v>
      </c>
      <c r="Y13" s="830"/>
      <c r="Z13" s="831" t="s">
        <v>233</v>
      </c>
      <c r="AA13" s="824" t="s">
        <v>233</v>
      </c>
      <c r="AB13" s="825"/>
      <c r="AC13" s="826" t="s">
        <v>233</v>
      </c>
      <c r="AD13" s="824" t="s">
        <v>233</v>
      </c>
      <c r="AE13" s="825"/>
      <c r="AF13" s="826" t="s">
        <v>233</v>
      </c>
      <c r="AG13" s="824" t="s">
        <v>233</v>
      </c>
      <c r="AH13" s="825"/>
      <c r="AI13" s="826" t="s">
        <v>233</v>
      </c>
      <c r="AJ13" s="827" t="s">
        <v>233</v>
      </c>
      <c r="AK13" s="832"/>
      <c r="AL13" s="828" t="s">
        <v>233</v>
      </c>
    </row>
    <row r="14" spans="1:51" s="815" customFormat="1" ht="25.5" x14ac:dyDescent="0.2">
      <c r="A14" s="820" t="s">
        <v>620</v>
      </c>
      <c r="B14" s="821" t="s">
        <v>632</v>
      </c>
      <c r="C14" s="821" t="s">
        <v>643</v>
      </c>
      <c r="D14" s="822" t="s">
        <v>365</v>
      </c>
      <c r="E14" s="823">
        <f>'EQUI 3, EQUI 16, EQUI 17'!H9</f>
        <v>0.33500000000000002</v>
      </c>
      <c r="F14" s="784">
        <f>'EQUI 3, EQUI 16, EQUI 17'!J9</f>
        <v>14.673</v>
      </c>
      <c r="G14" s="669">
        <f>'EQUI 3, EQUI 16, EQUI 17'!I9</f>
        <v>1.4673</v>
      </c>
      <c r="H14" s="668">
        <f>'EQUI 3, EQUI 16, EQUI 17'!H10</f>
        <v>0.28475</v>
      </c>
      <c r="I14" s="135">
        <f>'EQUI 3, EQUI 16, EQUI 17'!J10</f>
        <v>12.472050000000001</v>
      </c>
      <c r="J14" s="669">
        <f>'EQUI 3, EQUI 16, EQUI 17'!I10</f>
        <v>1.2472049999999999</v>
      </c>
      <c r="K14" s="668">
        <f>'EQUI 3, EQUI 16, EQUI 17'!H11</f>
        <v>0.10050000000000002</v>
      </c>
      <c r="L14" s="135">
        <f>'EQUI 3, EQUI 16, EQUI 17'!J11</f>
        <v>4.4019000000000004</v>
      </c>
      <c r="M14" s="669">
        <f>'EQUI 3, EQUI 16, EQUI 17'!I11</f>
        <v>0.44019000000000008</v>
      </c>
      <c r="N14" s="824" t="s">
        <v>233</v>
      </c>
      <c r="O14" s="825"/>
      <c r="P14" s="826" t="s">
        <v>233</v>
      </c>
      <c r="Q14" s="827" t="s">
        <v>233</v>
      </c>
      <c r="R14" s="825"/>
      <c r="S14" s="828" t="s">
        <v>233</v>
      </c>
      <c r="T14" s="820" t="s">
        <v>620</v>
      </c>
      <c r="U14" s="821" t="s">
        <v>632</v>
      </c>
      <c r="V14" s="821" t="s">
        <v>643</v>
      </c>
      <c r="W14" s="822" t="s">
        <v>365</v>
      </c>
      <c r="X14" s="829" t="s">
        <v>233</v>
      </c>
      <c r="Y14" s="830"/>
      <c r="Z14" s="831" t="s">
        <v>233</v>
      </c>
      <c r="AA14" s="824" t="s">
        <v>233</v>
      </c>
      <c r="AB14" s="825"/>
      <c r="AC14" s="826" t="s">
        <v>233</v>
      </c>
      <c r="AD14" s="824" t="s">
        <v>233</v>
      </c>
      <c r="AE14" s="825"/>
      <c r="AF14" s="826" t="s">
        <v>233</v>
      </c>
      <c r="AG14" s="824" t="s">
        <v>233</v>
      </c>
      <c r="AH14" s="825"/>
      <c r="AI14" s="826" t="s">
        <v>233</v>
      </c>
      <c r="AJ14" s="827" t="s">
        <v>233</v>
      </c>
      <c r="AK14" s="832"/>
      <c r="AL14" s="828" t="s">
        <v>233</v>
      </c>
    </row>
    <row r="15" spans="1:51" s="815" customFormat="1" ht="25.5" x14ac:dyDescent="0.2">
      <c r="A15" s="820" t="s">
        <v>621</v>
      </c>
      <c r="B15" s="821" t="s">
        <v>633</v>
      </c>
      <c r="C15" s="821" t="s">
        <v>643</v>
      </c>
      <c r="D15" s="822" t="s">
        <v>370</v>
      </c>
      <c r="E15" s="823">
        <f>'EQUI 3, EQUI 16, EQUI 17'!H19</f>
        <v>1</v>
      </c>
      <c r="F15" s="784">
        <f>'EQUI 3, EQUI 16, EQUI 17'!J19</f>
        <v>43.8</v>
      </c>
      <c r="G15" s="669">
        <f>'EQUI 3, EQUI 16, EQUI 17'!I19</f>
        <v>4.38</v>
      </c>
      <c r="H15" s="668">
        <f>'EQUI 3, EQUI 16, EQUI 17'!H20</f>
        <v>0.89500000000000002</v>
      </c>
      <c r="I15" s="135">
        <f>'EQUI 3, EQUI 16, EQUI 17'!J20</f>
        <v>39.200999999999993</v>
      </c>
      <c r="J15" s="669">
        <f>'EQUI 3, EQUI 16, EQUI 17'!I20</f>
        <v>3.9201000000000001</v>
      </c>
      <c r="K15" s="668">
        <f>'EQUI 3, EQUI 16, EQUI 17'!H21</f>
        <v>0.51000000000000012</v>
      </c>
      <c r="L15" s="135">
        <f>'EQUI 3, EQUI 16, EQUI 17'!J21</f>
        <v>22.338000000000001</v>
      </c>
      <c r="M15" s="669">
        <f>'EQUI 3, EQUI 16, EQUI 17'!I21</f>
        <v>2.2338000000000005</v>
      </c>
      <c r="N15" s="824" t="s">
        <v>233</v>
      </c>
      <c r="O15" s="825"/>
      <c r="P15" s="826" t="s">
        <v>233</v>
      </c>
      <c r="Q15" s="827" t="s">
        <v>233</v>
      </c>
      <c r="R15" s="825"/>
      <c r="S15" s="828" t="s">
        <v>233</v>
      </c>
      <c r="T15" s="820" t="s">
        <v>621</v>
      </c>
      <c r="U15" s="821" t="s">
        <v>633</v>
      </c>
      <c r="V15" s="821" t="s">
        <v>643</v>
      </c>
      <c r="W15" s="822" t="s">
        <v>370</v>
      </c>
      <c r="X15" s="829" t="s">
        <v>233</v>
      </c>
      <c r="Y15" s="830"/>
      <c r="Z15" s="831" t="s">
        <v>233</v>
      </c>
      <c r="AA15" s="668">
        <f>'EQUI 3, EQUI 16, EQUI 17'!H22</f>
        <v>1.0643750000000001</v>
      </c>
      <c r="AB15" s="135">
        <f>'EQUI 3, EQUI 16, EQUI 17'!J22</f>
        <v>4.6619625000000005</v>
      </c>
      <c r="AC15" s="669">
        <f>'EQUI 3, EQUI 16, EQUI 17'!I22</f>
        <v>4.6619625000000005</v>
      </c>
      <c r="AD15" s="824" t="s">
        <v>233</v>
      </c>
      <c r="AE15" s="825"/>
      <c r="AF15" s="826" t="s">
        <v>233</v>
      </c>
      <c r="AG15" s="824" t="s">
        <v>233</v>
      </c>
      <c r="AH15" s="825"/>
      <c r="AI15" s="826" t="s">
        <v>233</v>
      </c>
      <c r="AJ15" s="827" t="s">
        <v>233</v>
      </c>
      <c r="AK15" s="832"/>
      <c r="AL15" s="828" t="s">
        <v>233</v>
      </c>
    </row>
    <row r="16" spans="1:51" s="815" customFormat="1" ht="25.5" x14ac:dyDescent="0.2">
      <c r="A16" s="820" t="s">
        <v>622</v>
      </c>
      <c r="B16" s="821" t="s">
        <v>633</v>
      </c>
      <c r="C16" s="821" t="s">
        <v>643</v>
      </c>
      <c r="D16" s="822" t="s">
        <v>371</v>
      </c>
      <c r="E16" s="823">
        <f>'EQUI 3, EQUI 16, EQUI 17'!H31</f>
        <v>1</v>
      </c>
      <c r="F16" s="784">
        <f>'EQUI 3, EQUI 16, EQUI 17'!J31</f>
        <v>43.8</v>
      </c>
      <c r="G16" s="669">
        <f>'EQUI 3, EQUI 16, EQUI 17'!I31</f>
        <v>4.38</v>
      </c>
      <c r="H16" s="668">
        <f>'EQUI 3, EQUI 16, EQUI 17'!H32</f>
        <v>0.89500000000000002</v>
      </c>
      <c r="I16" s="135">
        <f>'EQUI 3, EQUI 16, EQUI 17'!J32</f>
        <v>39.200999999999993</v>
      </c>
      <c r="J16" s="669">
        <f>'EQUI 3, EQUI 16, EQUI 17'!I32</f>
        <v>3.9201000000000001</v>
      </c>
      <c r="K16" s="668">
        <f>'EQUI 3, EQUI 16, EQUI 17'!H33</f>
        <v>0.51000000000000012</v>
      </c>
      <c r="L16" s="135">
        <f>'EQUI 3, EQUI 16, EQUI 17'!J33</f>
        <v>22.338000000000001</v>
      </c>
      <c r="M16" s="669">
        <f>'EQUI 3, EQUI 16, EQUI 17'!I33</f>
        <v>2.2338000000000005</v>
      </c>
      <c r="N16" s="824" t="s">
        <v>233</v>
      </c>
      <c r="O16" s="825"/>
      <c r="P16" s="826" t="s">
        <v>233</v>
      </c>
      <c r="Q16" s="827" t="s">
        <v>233</v>
      </c>
      <c r="R16" s="825"/>
      <c r="S16" s="828" t="s">
        <v>233</v>
      </c>
      <c r="T16" s="820" t="s">
        <v>622</v>
      </c>
      <c r="U16" s="821" t="s">
        <v>633</v>
      </c>
      <c r="V16" s="821" t="s">
        <v>643</v>
      </c>
      <c r="W16" s="822" t="s">
        <v>371</v>
      </c>
      <c r="X16" s="829" t="s">
        <v>233</v>
      </c>
      <c r="Y16" s="830"/>
      <c r="Z16" s="831" t="s">
        <v>233</v>
      </c>
      <c r="AA16" s="668">
        <f>'EQUI 3, EQUI 16, EQUI 17'!H34</f>
        <v>1.0643750000000001</v>
      </c>
      <c r="AB16" s="135">
        <f>'EQUI 3, EQUI 16, EQUI 17'!J34</f>
        <v>4.6619625000000005</v>
      </c>
      <c r="AC16" s="669">
        <f>'EQUI 3, EQUI 16, EQUI 17'!I34</f>
        <v>4.6619625000000005</v>
      </c>
      <c r="AD16" s="824" t="s">
        <v>233</v>
      </c>
      <c r="AE16" s="825"/>
      <c r="AF16" s="826" t="s">
        <v>233</v>
      </c>
      <c r="AG16" s="824" t="s">
        <v>233</v>
      </c>
      <c r="AH16" s="825"/>
      <c r="AI16" s="826" t="s">
        <v>233</v>
      </c>
      <c r="AJ16" s="827" t="s">
        <v>233</v>
      </c>
      <c r="AK16" s="832"/>
      <c r="AL16" s="828" t="s">
        <v>233</v>
      </c>
    </row>
    <row r="17" spans="1:40" s="815" customFormat="1" ht="25.5" x14ac:dyDescent="0.2">
      <c r="A17" s="820" t="s">
        <v>623</v>
      </c>
      <c r="B17" s="821" t="s">
        <v>634</v>
      </c>
      <c r="C17" s="821" t="s">
        <v>644</v>
      </c>
      <c r="D17" s="822" t="s">
        <v>366</v>
      </c>
      <c r="E17" s="823">
        <f>'EQUI 18'!M9</f>
        <v>9.1250000000000081E-3</v>
      </c>
      <c r="F17" s="784">
        <f>'EQUI 18'!O9</f>
        <v>3.99675</v>
      </c>
      <c r="G17" s="669">
        <f>'EQUI 18'!N9</f>
        <v>3.9967500000000038E-2</v>
      </c>
      <c r="H17" s="668">
        <f>'EQUI 18'!M10</f>
        <v>5.8750000000000044E-3</v>
      </c>
      <c r="I17" s="135">
        <f>'EQUI 18'!O10</f>
        <v>2.5732499999999994</v>
      </c>
      <c r="J17" s="669">
        <f>'EQUI 18'!N10</f>
        <v>2.5732500000000019E-2</v>
      </c>
      <c r="K17" s="668">
        <f>'EQUI 18'!M11</f>
        <v>5.8750000000000044E-3</v>
      </c>
      <c r="L17" s="135">
        <f>'EQUI 18'!O11</f>
        <v>2.5732499999999994</v>
      </c>
      <c r="M17" s="669">
        <f>'EQUI 18'!N11</f>
        <v>2.5732500000000019E-2</v>
      </c>
      <c r="N17" s="824" t="s">
        <v>233</v>
      </c>
      <c r="O17" s="825"/>
      <c r="P17" s="826" t="s">
        <v>233</v>
      </c>
      <c r="Q17" s="827" t="s">
        <v>233</v>
      </c>
      <c r="R17" s="825"/>
      <c r="S17" s="828" t="s">
        <v>233</v>
      </c>
      <c r="T17" s="820" t="s">
        <v>623</v>
      </c>
      <c r="U17" s="821" t="s">
        <v>634</v>
      </c>
      <c r="V17" s="821" t="s">
        <v>644</v>
      </c>
      <c r="W17" s="822" t="s">
        <v>366</v>
      </c>
      <c r="X17" s="829" t="s">
        <v>233</v>
      </c>
      <c r="Y17" s="830"/>
      <c r="Z17" s="831" t="s">
        <v>233</v>
      </c>
      <c r="AA17" s="837" t="s">
        <v>233</v>
      </c>
      <c r="AB17" s="830"/>
      <c r="AC17" s="831" t="s">
        <v>233</v>
      </c>
      <c r="AD17" s="824" t="s">
        <v>233</v>
      </c>
      <c r="AE17" s="825"/>
      <c r="AF17" s="826" t="s">
        <v>233</v>
      </c>
      <c r="AG17" s="824" t="s">
        <v>233</v>
      </c>
      <c r="AH17" s="825"/>
      <c r="AI17" s="826" t="s">
        <v>233</v>
      </c>
      <c r="AJ17" s="827" t="s">
        <v>233</v>
      </c>
      <c r="AK17" s="832"/>
      <c r="AL17" s="828" t="s">
        <v>233</v>
      </c>
    </row>
    <row r="18" spans="1:40" s="815" customFormat="1" x14ac:dyDescent="0.2">
      <c r="A18" s="838" t="s">
        <v>624</v>
      </c>
      <c r="B18" s="838" t="s">
        <v>635</v>
      </c>
      <c r="C18" s="838" t="s">
        <v>645</v>
      </c>
      <c r="D18" s="839" t="s">
        <v>367</v>
      </c>
      <c r="E18" s="840">
        <f>'EQUI 66, EQUI 8, EQUI 9'!H8</f>
        <v>1.5157200000000002</v>
      </c>
      <c r="F18" s="841">
        <f>'EQUI 66, EQUI 8, EQUI 9'!J8</f>
        <v>66.388536000000002</v>
      </c>
      <c r="G18" s="842">
        <f>'EQUI 66, EQUI 8, EQUI 9'!I8</f>
        <v>6.6388536000000009</v>
      </c>
      <c r="H18" s="843">
        <f>'EQUI 66, EQUI 8, EQUI 9'!H9</f>
        <v>1.3565693999999999</v>
      </c>
      <c r="I18" s="844">
        <f>'EQUI 66, EQUI 8, EQUI 9'!J9</f>
        <v>59.417739719999993</v>
      </c>
      <c r="J18" s="842">
        <f>'EQUI 66, EQUI 8, EQUI 9'!I9</f>
        <v>5.9417739719999991</v>
      </c>
      <c r="K18" s="843">
        <f>'EQUI 66, EQUI 8, EQUI 9'!H10</f>
        <v>0.77301720000000007</v>
      </c>
      <c r="L18" s="844">
        <f>'EQUI 66, EQUI 8, EQUI 9'!J10</f>
        <v>33.858153360000003</v>
      </c>
      <c r="M18" s="842">
        <f>'EQUI 66, EQUI 8, EQUI 9'!I10</f>
        <v>3.3858153360000003</v>
      </c>
      <c r="N18" s="824" t="s">
        <v>233</v>
      </c>
      <c r="O18" s="825"/>
      <c r="P18" s="826" t="s">
        <v>233</v>
      </c>
      <c r="Q18" s="827" t="s">
        <v>233</v>
      </c>
      <c r="R18" s="825"/>
      <c r="S18" s="828" t="s">
        <v>233</v>
      </c>
      <c r="T18" s="838" t="s">
        <v>624</v>
      </c>
      <c r="U18" s="838" t="s">
        <v>635</v>
      </c>
      <c r="V18" s="838" t="s">
        <v>645</v>
      </c>
      <c r="W18" s="839" t="s">
        <v>367</v>
      </c>
      <c r="X18" s="829" t="s">
        <v>233</v>
      </c>
      <c r="Y18" s="830"/>
      <c r="Z18" s="831" t="s">
        <v>233</v>
      </c>
      <c r="AA18" s="837">
        <f>'EQUI 66, EQUI 8, EQUI 9'!H11</f>
        <v>1.6104525000000001</v>
      </c>
      <c r="AB18" s="830">
        <f>'EQUI 66, EQUI 8, EQUI 9'!J11</f>
        <v>7.0537819500000003</v>
      </c>
      <c r="AC18" s="842">
        <f>'EQUI 66, EQUI 8, EQUI 9'!I11</f>
        <v>7.0537819500000003</v>
      </c>
      <c r="AD18" s="824" t="s">
        <v>233</v>
      </c>
      <c r="AE18" s="825"/>
      <c r="AF18" s="826" t="s">
        <v>233</v>
      </c>
      <c r="AG18" s="824" t="s">
        <v>233</v>
      </c>
      <c r="AH18" s="825"/>
      <c r="AI18" s="826" t="s">
        <v>233</v>
      </c>
      <c r="AJ18" s="827" t="s">
        <v>233</v>
      </c>
      <c r="AK18" s="832"/>
      <c r="AL18" s="828" t="s">
        <v>233</v>
      </c>
    </row>
    <row r="19" spans="1:40" s="815" customFormat="1" x14ac:dyDescent="0.2">
      <c r="A19" s="821" t="s">
        <v>625</v>
      </c>
      <c r="B19" s="821" t="s">
        <v>635</v>
      </c>
      <c r="C19" s="821" t="s">
        <v>645</v>
      </c>
      <c r="D19" s="822" t="s">
        <v>368</v>
      </c>
      <c r="E19" s="823">
        <f>'EQUI 66, EQUI 8, EQUI 9'!H20</f>
        <v>0.42868000000000006</v>
      </c>
      <c r="F19" s="784">
        <f>'EQUI 66, EQUI 8, EQUI 9'!J20</f>
        <v>18.776184000000001</v>
      </c>
      <c r="G19" s="669">
        <f>'EQUI 66, EQUI 8, EQUI 9'!I20</f>
        <v>1.8776184000000002</v>
      </c>
      <c r="H19" s="668">
        <f>'EQUI 66, EQUI 8, EQUI 9'!H21</f>
        <v>0.38366860000000003</v>
      </c>
      <c r="I19" s="135">
        <f>'EQUI 66, EQUI 8, EQUI 9'!J21</f>
        <v>16.804684679999998</v>
      </c>
      <c r="J19" s="669">
        <f>'EQUI 66, EQUI 8, EQUI 9'!I21</f>
        <v>1.6804684680000002</v>
      </c>
      <c r="K19" s="668">
        <f>'EQUI 66, EQUI 8, EQUI 9'!H22</f>
        <v>0.21862680000000001</v>
      </c>
      <c r="L19" s="135">
        <f>'EQUI 66, EQUI 8, EQUI 9'!J22</f>
        <v>9.5758538400000006</v>
      </c>
      <c r="M19" s="669">
        <f>'EQUI 66, EQUI 8, EQUI 9'!I22</f>
        <v>0.95758538400000004</v>
      </c>
      <c r="N19" s="824" t="s">
        <v>233</v>
      </c>
      <c r="O19" s="825"/>
      <c r="P19" s="826" t="s">
        <v>233</v>
      </c>
      <c r="Q19" s="827" t="s">
        <v>233</v>
      </c>
      <c r="R19" s="825"/>
      <c r="S19" s="828" t="s">
        <v>233</v>
      </c>
      <c r="T19" s="821" t="s">
        <v>625</v>
      </c>
      <c r="U19" s="821" t="s">
        <v>635</v>
      </c>
      <c r="V19" s="821" t="s">
        <v>645</v>
      </c>
      <c r="W19" s="822" t="s">
        <v>368</v>
      </c>
      <c r="X19" s="829" t="s">
        <v>233</v>
      </c>
      <c r="Y19" s="830"/>
      <c r="Z19" s="831" t="s">
        <v>233</v>
      </c>
      <c r="AA19" s="837">
        <f>'EQUI 66, EQUI 8, EQUI 9'!H23</f>
        <v>0.45547250000000006</v>
      </c>
      <c r="AB19" s="830">
        <f>'EQUI 66, EQUI 8, EQUI 9'!J23</f>
        <v>1.9949695500000002</v>
      </c>
      <c r="AC19" s="669">
        <f>'EQUI 66, EQUI 8, EQUI 9'!I23</f>
        <v>1.9949695500000002</v>
      </c>
      <c r="AD19" s="824" t="s">
        <v>233</v>
      </c>
      <c r="AE19" s="825"/>
      <c r="AF19" s="826" t="s">
        <v>233</v>
      </c>
      <c r="AG19" s="824" t="s">
        <v>233</v>
      </c>
      <c r="AH19" s="825"/>
      <c r="AI19" s="826" t="s">
        <v>233</v>
      </c>
      <c r="AJ19" s="827" t="s">
        <v>233</v>
      </c>
      <c r="AK19" s="832"/>
      <c r="AL19" s="828" t="s">
        <v>233</v>
      </c>
    </row>
    <row r="20" spans="1:40" s="815" customFormat="1" ht="13.5" thickBot="1" x14ac:dyDescent="0.25">
      <c r="A20" s="821" t="s">
        <v>626</v>
      </c>
      <c r="B20" s="821" t="s">
        <v>635</v>
      </c>
      <c r="C20" s="821" t="s">
        <v>645</v>
      </c>
      <c r="D20" s="822" t="s">
        <v>369</v>
      </c>
      <c r="E20" s="823">
        <f>'EQUI 66, EQUI 8, EQUI 9'!H32</f>
        <v>0.16515500000000002</v>
      </c>
      <c r="F20" s="784">
        <f>'EQUI 66, EQUI 8, EQUI 9'!J32</f>
        <v>7.2337889999999998</v>
      </c>
      <c r="G20" s="669">
        <f>'EQUI 66, EQUI 8, EQUI 9'!I32</f>
        <v>0.72337890000000005</v>
      </c>
      <c r="H20" s="668">
        <f>'EQUI 66, EQUI 8, EQUI 9'!H33</f>
        <v>0.14038175</v>
      </c>
      <c r="I20" s="135">
        <f>'EQUI 66, EQUI 8, EQUI 9'!J33</f>
        <v>6.1487206499999996</v>
      </c>
      <c r="J20" s="669">
        <f>'EQUI 66, EQUI 8, EQUI 9'!I33</f>
        <v>0.61487206500000002</v>
      </c>
      <c r="K20" s="668">
        <f>'EQUI 66, EQUI 8, EQUI 9'!H34</f>
        <v>4.95465E-2</v>
      </c>
      <c r="L20" s="135">
        <f>'EQUI 66, EQUI 8, EQUI 9'!J34</f>
        <v>2.1701367</v>
      </c>
      <c r="M20" s="669">
        <f>'EQUI 66, EQUI 8, EQUI 9'!I34</f>
        <v>0.21701366999999999</v>
      </c>
      <c r="N20" s="824" t="s">
        <v>233</v>
      </c>
      <c r="O20" s="825"/>
      <c r="P20" s="826" t="s">
        <v>233</v>
      </c>
      <c r="Q20" s="827" t="s">
        <v>233</v>
      </c>
      <c r="R20" s="825"/>
      <c r="S20" s="828" t="s">
        <v>233</v>
      </c>
      <c r="T20" s="821" t="s">
        <v>626</v>
      </c>
      <c r="U20" s="821" t="s">
        <v>635</v>
      </c>
      <c r="V20" s="821" t="s">
        <v>645</v>
      </c>
      <c r="W20" s="822" t="s">
        <v>369</v>
      </c>
      <c r="X20" s="829" t="s">
        <v>233</v>
      </c>
      <c r="Y20" s="830"/>
      <c r="Z20" s="831" t="s">
        <v>233</v>
      </c>
      <c r="AA20" s="837" t="s">
        <v>233</v>
      </c>
      <c r="AB20" s="830"/>
      <c r="AC20" s="831" t="s">
        <v>233</v>
      </c>
      <c r="AD20" s="824" t="s">
        <v>233</v>
      </c>
      <c r="AE20" s="825"/>
      <c r="AF20" s="826" t="s">
        <v>233</v>
      </c>
      <c r="AG20" s="824" t="s">
        <v>233</v>
      </c>
      <c r="AH20" s="825"/>
      <c r="AI20" s="826" t="s">
        <v>233</v>
      </c>
      <c r="AJ20" s="827" t="s">
        <v>233</v>
      </c>
      <c r="AK20" s="832"/>
      <c r="AL20" s="828" t="s">
        <v>233</v>
      </c>
    </row>
    <row r="21" spans="1:40" s="809" customFormat="1" ht="14.25" thickTop="1" thickBot="1" x14ac:dyDescent="0.25">
      <c r="A21" s="941" t="s">
        <v>249</v>
      </c>
      <c r="B21" s="942"/>
      <c r="C21" s="942"/>
      <c r="D21" s="895"/>
      <c r="E21" s="849">
        <f t="shared" ref="E21:S21" si="0">SUM(E7:E20)</f>
        <v>8.7519214212097474</v>
      </c>
      <c r="F21" s="905">
        <f t="shared" si="0"/>
        <v>378.99505007195751</v>
      </c>
      <c r="G21" s="896">
        <f t="shared" si="0"/>
        <v>38.333415824898694</v>
      </c>
      <c r="H21" s="853">
        <f t="shared" si="0"/>
        <v>7.5057908653173095</v>
      </c>
      <c r="I21" s="905">
        <f t="shared" si="0"/>
        <v>322.32734753508976</v>
      </c>
      <c r="J21" s="896">
        <f t="shared" si="0"/>
        <v>32.875363990089816</v>
      </c>
      <c r="K21" s="853">
        <f t="shared" si="0"/>
        <v>4.7733146882642856</v>
      </c>
      <c r="L21" s="905">
        <f t="shared" si="0"/>
        <v>218.32645163871521</v>
      </c>
      <c r="M21" s="896">
        <f t="shared" si="0"/>
        <v>20.90711833459757</v>
      </c>
      <c r="N21" s="853">
        <f t="shared" si="0"/>
        <v>8.8260623727724017</v>
      </c>
      <c r="O21" s="905">
        <f t="shared" si="0"/>
        <v>38.658153192743114</v>
      </c>
      <c r="P21" s="896">
        <f t="shared" si="0"/>
        <v>38.658153192743114</v>
      </c>
      <c r="Q21" s="853">
        <f t="shared" si="0"/>
        <v>9.0808196867635314</v>
      </c>
      <c r="R21" s="905">
        <f t="shared" si="0"/>
        <v>39.77399022802426</v>
      </c>
      <c r="S21" s="853">
        <f t="shared" si="0"/>
        <v>39.77399022802426</v>
      </c>
      <c r="T21" s="941" t="s">
        <v>249</v>
      </c>
      <c r="U21" s="942"/>
      <c r="V21" s="942"/>
      <c r="W21" s="895"/>
      <c r="X21" s="849">
        <f t="shared" ref="X21:AL21" si="1">SUM(X7:X20)</f>
        <v>6.0595294117647063</v>
      </c>
      <c r="Y21" s="905">
        <f t="shared" si="1"/>
        <v>26.540738823529413</v>
      </c>
      <c r="Z21" s="896">
        <f t="shared" si="1"/>
        <v>26.540738823529413</v>
      </c>
      <c r="AA21" s="853">
        <f t="shared" si="1"/>
        <v>5.2079864754098359</v>
      </c>
      <c r="AB21" s="905">
        <f t="shared" si="1"/>
        <v>22.810980762295085</v>
      </c>
      <c r="AC21" s="853">
        <f t="shared" si="1"/>
        <v>22.810980762295085</v>
      </c>
      <c r="AD21" s="855">
        <f t="shared" si="1"/>
        <v>13199.129109514302</v>
      </c>
      <c r="AE21" s="856">
        <f t="shared" si="1"/>
        <v>57812.185499672647</v>
      </c>
      <c r="AF21" s="897">
        <f t="shared" si="1"/>
        <v>57812.185499672647</v>
      </c>
      <c r="AG21" s="861">
        <f t="shared" si="1"/>
        <v>0.12984705882352943</v>
      </c>
      <c r="AH21" s="906">
        <f t="shared" si="1"/>
        <v>0.56873011764705894</v>
      </c>
      <c r="AI21" s="898">
        <f t="shared" si="1"/>
        <v>0.56873011764705894</v>
      </c>
      <c r="AJ21" s="861">
        <f t="shared" si="1"/>
        <v>0.13627860005882353</v>
      </c>
      <c r="AK21" s="906">
        <f t="shared" si="1"/>
        <v>0.59690026825764697</v>
      </c>
      <c r="AL21" s="899">
        <f t="shared" si="1"/>
        <v>0.59690026825764697</v>
      </c>
      <c r="AN21" s="350"/>
    </row>
    <row r="22" spans="1:40" ht="13.5" thickTop="1" x14ac:dyDescent="0.2">
      <c r="A22" s="651" t="s">
        <v>585</v>
      </c>
      <c r="B22" s="143"/>
      <c r="C22" s="143"/>
      <c r="D22" s="143"/>
      <c r="T22" s="651" t="s">
        <v>585</v>
      </c>
      <c r="U22" s="143"/>
      <c r="V22" s="143"/>
      <c r="W22" s="143"/>
    </row>
    <row r="23" spans="1:40" ht="14.25" customHeight="1" x14ac:dyDescent="0.2">
      <c r="A23" t="s">
        <v>562</v>
      </c>
      <c r="B23" s="649"/>
      <c r="C23" s="649"/>
      <c r="D23" s="649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50"/>
      <c r="S23" s="650"/>
      <c r="T23" t="s">
        <v>562</v>
      </c>
      <c r="U23" s="650"/>
      <c r="V23" s="650"/>
      <c r="W23" s="650"/>
      <c r="X23" s="650"/>
      <c r="Y23" s="650"/>
      <c r="Z23" s="650"/>
      <c r="AA23" s="650"/>
      <c r="AB23" s="650"/>
      <c r="AC23" s="650"/>
      <c r="AD23" s="650"/>
      <c r="AE23" s="650"/>
      <c r="AF23" s="650"/>
      <c r="AG23" s="650"/>
      <c r="AH23" s="650"/>
      <c r="AI23" s="650"/>
      <c r="AJ23" s="650"/>
      <c r="AK23" s="650"/>
      <c r="AL23" s="650"/>
    </row>
    <row r="24" spans="1:40" x14ac:dyDescent="0.2"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</row>
    <row r="25" spans="1:40" x14ac:dyDescent="0.2"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</row>
    <row r="26" spans="1:40" x14ac:dyDescent="0.2">
      <c r="G26" s="2"/>
      <c r="J26" s="2"/>
      <c r="K26" s="2"/>
      <c r="L26" s="2"/>
      <c r="M26" s="2"/>
    </row>
    <row r="27" spans="1:40" x14ac:dyDescent="0.2">
      <c r="K27" s="2"/>
      <c r="L27" s="2"/>
    </row>
    <row r="28" spans="1:40" x14ac:dyDescent="0.2">
      <c r="G28" s="2"/>
      <c r="J28" s="2"/>
      <c r="M28" s="2"/>
      <c r="N28" s="2"/>
      <c r="O28" s="2"/>
      <c r="P28" s="2"/>
      <c r="Q28" s="2"/>
      <c r="R28" s="2"/>
      <c r="S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167" spans="11:19" x14ac:dyDescent="0.2">
      <c r="K167" s="164"/>
      <c r="L167" s="164"/>
      <c r="M167" s="164"/>
      <c r="N167" s="164"/>
      <c r="O167" s="164"/>
      <c r="P167" s="164"/>
      <c r="Q167" s="164"/>
      <c r="R167" s="164"/>
      <c r="S167" s="164"/>
    </row>
    <row r="168" spans="11:19" x14ac:dyDescent="0.2">
      <c r="K168" s="164"/>
      <c r="L168" s="164"/>
      <c r="M168" s="164"/>
      <c r="N168" s="164"/>
      <c r="O168" s="164"/>
      <c r="P168" s="164"/>
      <c r="Q168" s="164"/>
      <c r="R168" s="164"/>
      <c r="S168" s="164"/>
    </row>
    <row r="169" spans="11:19" x14ac:dyDescent="0.2">
      <c r="K169" s="164"/>
      <c r="L169" s="164"/>
      <c r="M169" s="164"/>
      <c r="N169" s="164"/>
      <c r="O169" s="164"/>
      <c r="P169" s="164"/>
      <c r="Q169" s="164"/>
      <c r="R169" s="164"/>
      <c r="S169" s="164"/>
    </row>
    <row r="170" spans="11:19" x14ac:dyDescent="0.2">
      <c r="K170" s="164"/>
      <c r="L170" s="164"/>
      <c r="M170" s="164"/>
      <c r="N170" s="164"/>
      <c r="O170" s="164"/>
      <c r="P170" s="164"/>
      <c r="Q170" s="164"/>
      <c r="R170" s="164"/>
      <c r="S170" s="164"/>
    </row>
    <row r="171" spans="11:19" x14ac:dyDescent="0.2">
      <c r="K171" s="164"/>
      <c r="L171" s="164"/>
      <c r="M171" s="164"/>
      <c r="N171" s="164"/>
      <c r="O171" s="164"/>
      <c r="P171" s="164"/>
      <c r="Q171" s="164"/>
      <c r="R171" s="164"/>
      <c r="S171" s="164"/>
    </row>
    <row r="172" spans="11:19" x14ac:dyDescent="0.2">
      <c r="K172" s="164"/>
      <c r="L172" s="164"/>
      <c r="M172" s="164"/>
      <c r="N172" s="164"/>
      <c r="O172" s="164"/>
      <c r="P172" s="164"/>
      <c r="Q172" s="164"/>
      <c r="R172" s="164"/>
      <c r="S172" s="164"/>
    </row>
    <row r="173" spans="11:19" x14ac:dyDescent="0.2">
      <c r="K173" s="164"/>
      <c r="L173" s="164"/>
      <c r="M173" s="164"/>
      <c r="N173" s="164"/>
      <c r="O173" s="164"/>
      <c r="P173" s="164"/>
      <c r="Q173" s="164"/>
      <c r="R173" s="164"/>
      <c r="S173" s="164"/>
    </row>
    <row r="174" spans="11:19" x14ac:dyDescent="0.2">
      <c r="K174" s="164"/>
      <c r="L174" s="164"/>
      <c r="M174" s="164"/>
      <c r="N174" s="164"/>
      <c r="O174" s="164"/>
      <c r="P174" s="164"/>
      <c r="Q174" s="164"/>
      <c r="R174" s="164"/>
      <c r="S174" s="164"/>
    </row>
    <row r="175" spans="11:19" x14ac:dyDescent="0.2">
      <c r="K175" s="164"/>
      <c r="L175" s="164"/>
      <c r="M175" s="164"/>
      <c r="N175" s="164"/>
      <c r="O175" s="164"/>
      <c r="P175" s="164"/>
      <c r="Q175" s="164"/>
      <c r="R175" s="164"/>
      <c r="S175" s="164"/>
    </row>
    <row r="176" spans="11:19" x14ac:dyDescent="0.2">
      <c r="K176" s="164"/>
      <c r="L176" s="164"/>
      <c r="M176" s="164"/>
      <c r="N176" s="164"/>
      <c r="O176" s="164"/>
      <c r="P176" s="164"/>
      <c r="Q176" s="164"/>
      <c r="R176" s="164"/>
      <c r="S176" s="164"/>
    </row>
    <row r="177" spans="11:19" x14ac:dyDescent="0.2">
      <c r="K177" s="164"/>
      <c r="L177" s="164"/>
      <c r="M177" s="164"/>
      <c r="N177" s="164"/>
      <c r="O177" s="164"/>
      <c r="P177" s="164"/>
      <c r="Q177" s="164"/>
      <c r="R177" s="164"/>
      <c r="S177" s="164"/>
    </row>
    <row r="178" spans="11:19" x14ac:dyDescent="0.2">
      <c r="K178" s="164"/>
      <c r="L178" s="164"/>
      <c r="M178" s="164"/>
      <c r="N178" s="164"/>
      <c r="O178" s="164"/>
      <c r="P178" s="164"/>
      <c r="Q178" s="164"/>
      <c r="R178" s="164"/>
      <c r="S178" s="164"/>
    </row>
    <row r="179" spans="11:19" x14ac:dyDescent="0.2">
      <c r="K179" s="164"/>
      <c r="L179" s="164"/>
      <c r="M179" s="164"/>
      <c r="N179" s="164"/>
      <c r="O179" s="164"/>
      <c r="P179" s="164"/>
      <c r="Q179" s="164"/>
      <c r="R179" s="164"/>
      <c r="S179" s="164"/>
    </row>
    <row r="180" spans="11:19" x14ac:dyDescent="0.2">
      <c r="K180" s="164"/>
      <c r="L180" s="164"/>
      <c r="M180" s="164"/>
      <c r="N180" s="164"/>
      <c r="O180" s="164"/>
      <c r="P180" s="164"/>
      <c r="Q180" s="164"/>
      <c r="R180" s="164"/>
      <c r="S180" s="164"/>
    </row>
    <row r="181" spans="11:19" x14ac:dyDescent="0.2">
      <c r="K181" s="164"/>
      <c r="L181" s="164"/>
      <c r="M181" s="164"/>
      <c r="N181" s="164"/>
      <c r="O181" s="164"/>
      <c r="P181" s="164"/>
      <c r="Q181" s="164"/>
      <c r="R181" s="164"/>
      <c r="S181" s="164"/>
    </row>
    <row r="182" spans="11:19" x14ac:dyDescent="0.2">
      <c r="K182" s="164"/>
      <c r="L182" s="164"/>
      <c r="M182" s="164"/>
      <c r="N182" s="164"/>
      <c r="O182" s="164"/>
      <c r="P182" s="164"/>
      <c r="Q182" s="164"/>
      <c r="R182" s="164"/>
      <c r="S182" s="164"/>
    </row>
    <row r="183" spans="11:19" x14ac:dyDescent="0.2">
      <c r="K183" s="164"/>
      <c r="L183" s="164"/>
      <c r="M183" s="164"/>
      <c r="N183" s="164"/>
      <c r="O183" s="164"/>
      <c r="P183" s="164"/>
      <c r="Q183" s="164"/>
      <c r="R183" s="164"/>
      <c r="S183" s="164"/>
    </row>
    <row r="184" spans="11:19" x14ac:dyDescent="0.2">
      <c r="K184" s="164"/>
      <c r="L184" s="164"/>
      <c r="M184" s="164"/>
      <c r="N184" s="164"/>
      <c r="O184" s="164"/>
      <c r="P184" s="164"/>
      <c r="Q184" s="164"/>
      <c r="R184" s="164"/>
      <c r="S184" s="164"/>
    </row>
    <row r="185" spans="11:19" x14ac:dyDescent="0.2">
      <c r="K185" s="164"/>
      <c r="L185" s="164"/>
      <c r="M185" s="164"/>
      <c r="N185" s="164"/>
      <c r="O185" s="164"/>
      <c r="P185" s="164"/>
      <c r="Q185" s="164"/>
      <c r="R185" s="164"/>
      <c r="S185" s="164"/>
    </row>
  </sheetData>
  <mergeCells count="18">
    <mergeCell ref="A1:S1"/>
    <mergeCell ref="T1:AL1"/>
    <mergeCell ref="A2:S2"/>
    <mergeCell ref="T2:AL2"/>
    <mergeCell ref="E4:S4"/>
    <mergeCell ref="X4:AL4"/>
    <mergeCell ref="AA5:AC5"/>
    <mergeCell ref="AD5:AF5"/>
    <mergeCell ref="AG5:AI5"/>
    <mergeCell ref="AJ5:AL5"/>
    <mergeCell ref="A21:C21"/>
    <mergeCell ref="T21:V21"/>
    <mergeCell ref="E5:G5"/>
    <mergeCell ref="H5:J5"/>
    <mergeCell ref="K5:M5"/>
    <mergeCell ref="N5:P5"/>
    <mergeCell ref="Q5:S5"/>
    <mergeCell ref="X5:Z5"/>
  </mergeCells>
  <printOptions horizontalCentered="1"/>
  <pageMargins left="0.75" right="0.75" top="1" bottom="1" header="0.5" footer="0.5"/>
  <pageSetup scale="72" fitToWidth="2" pageOrder="overThenDown" orientation="landscape" r:id="rId1"/>
  <headerFooter alignWithMargins="0"/>
  <colBreaks count="1" manualBreakCount="1">
    <brk id="19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Y185"/>
  <sheetViews>
    <sheetView view="pageBreakPreview" topLeftCell="O1" zoomScale="80" zoomScaleNormal="110" zoomScaleSheetLayoutView="80" workbookViewId="0">
      <selection activeCell="V20" sqref="V20"/>
    </sheetView>
  </sheetViews>
  <sheetFormatPr defaultRowHeight="12.75" x14ac:dyDescent="0.2"/>
  <cols>
    <col min="1" max="1" width="9.7109375" customWidth="1"/>
    <col min="2" max="2" width="10.85546875" customWidth="1"/>
    <col min="3" max="3" width="9.7109375" customWidth="1"/>
    <col min="4" max="4" width="21.140625" customWidth="1"/>
    <col min="5" max="5" width="6.28515625" style="1" bestFit="1" customWidth="1"/>
    <col min="6" max="6" width="6.5703125" style="1" bestFit="1" customWidth="1"/>
    <col min="7" max="7" width="6.140625" style="1" bestFit="1" customWidth="1"/>
    <col min="8" max="8" width="6.28515625" style="1" bestFit="1" customWidth="1"/>
    <col min="9" max="9" width="6.5703125" style="1" bestFit="1" customWidth="1"/>
    <col min="10" max="10" width="6.140625" style="1" bestFit="1" customWidth="1"/>
    <col min="11" max="11" width="6.28515625" style="1" bestFit="1" customWidth="1"/>
    <col min="12" max="12" width="6.5703125" style="1" bestFit="1" customWidth="1"/>
    <col min="13" max="13" width="6.140625" style="1" bestFit="1" customWidth="1"/>
    <col min="14" max="15" width="7.140625" style="1" bestFit="1" customWidth="1"/>
    <col min="16" max="16" width="7.140625" style="1" customWidth="1"/>
    <col min="17" max="17" width="6.28515625" style="1" bestFit="1" customWidth="1"/>
    <col min="18" max="18" width="6.5703125" style="1" bestFit="1" customWidth="1"/>
    <col min="19" max="19" width="7.140625" style="1" bestFit="1" customWidth="1"/>
    <col min="20" max="20" width="9.7109375" customWidth="1"/>
    <col min="21" max="21" width="10.85546875" customWidth="1"/>
    <col min="22" max="22" width="9.7109375" customWidth="1"/>
    <col min="23" max="23" width="21.140625" customWidth="1"/>
    <col min="24" max="24" width="6.28515625" style="1" bestFit="1" customWidth="1"/>
    <col min="25" max="26" width="5.5703125" style="1" bestFit="1" customWidth="1"/>
    <col min="27" max="27" width="6.28515625" style="1" bestFit="1" customWidth="1"/>
    <col min="28" max="29" width="5.5703125" style="1" bestFit="1" customWidth="1"/>
    <col min="30" max="31" width="6.5703125" style="1" bestFit="1" customWidth="1"/>
    <col min="32" max="32" width="7.28515625" style="1" customWidth="1"/>
    <col min="33" max="38" width="6.140625" style="1" customWidth="1"/>
  </cols>
  <sheetData>
    <row r="1" spans="1:51" ht="18" customHeight="1" x14ac:dyDescent="0.25">
      <c r="A1" s="944" t="s">
        <v>457</v>
      </c>
      <c r="B1" s="944"/>
      <c r="C1" s="944"/>
      <c r="D1" s="944"/>
      <c r="E1" s="944"/>
      <c r="F1" s="944"/>
      <c r="G1" s="944"/>
      <c r="H1" s="944"/>
      <c r="I1" s="944"/>
      <c r="J1" s="944"/>
      <c r="K1" s="944"/>
      <c r="L1" s="944"/>
      <c r="M1" s="944"/>
      <c r="N1" s="944"/>
      <c r="O1" s="944"/>
      <c r="P1" s="944"/>
      <c r="Q1" s="944"/>
      <c r="R1" s="944"/>
      <c r="S1" s="944"/>
      <c r="T1" s="944" t="s">
        <v>457</v>
      </c>
      <c r="U1" s="944"/>
      <c r="V1" s="944"/>
      <c r="W1" s="944"/>
      <c r="X1" s="944"/>
      <c r="Y1" s="944"/>
      <c r="Z1" s="944"/>
      <c r="AA1" s="944"/>
      <c r="AB1" s="944"/>
      <c r="AC1" s="944"/>
      <c r="AD1" s="944"/>
      <c r="AE1" s="944"/>
      <c r="AF1" s="944"/>
      <c r="AG1" s="944"/>
      <c r="AH1" s="944"/>
      <c r="AI1" s="944"/>
      <c r="AJ1" s="944"/>
      <c r="AK1" s="944"/>
      <c r="AL1" s="944"/>
    </row>
    <row r="2" spans="1:51" ht="15.75" x14ac:dyDescent="0.25">
      <c r="A2" s="945" t="s">
        <v>601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945"/>
      <c r="S2" s="945"/>
      <c r="T2" s="945" t="s">
        <v>602</v>
      </c>
      <c r="U2" s="945"/>
      <c r="V2" s="945"/>
      <c r="W2" s="945"/>
      <c r="X2" s="945"/>
      <c r="Y2" s="945"/>
      <c r="Z2" s="945"/>
      <c r="AA2" s="945"/>
      <c r="AB2" s="945"/>
      <c r="AC2" s="945"/>
      <c r="AD2" s="945"/>
      <c r="AE2" s="945"/>
      <c r="AF2" s="945"/>
      <c r="AG2" s="945"/>
      <c r="AH2" s="945"/>
      <c r="AI2" s="945"/>
      <c r="AJ2" s="945"/>
      <c r="AK2" s="945"/>
      <c r="AL2" s="945"/>
    </row>
    <row r="3" spans="1:51" ht="13.5" thickBot="1" x14ac:dyDescent="0.25">
      <c r="E3" s="168"/>
      <c r="F3" s="168"/>
    </row>
    <row r="4" spans="1:51" s="9" customFormat="1" ht="14.25" thickTop="1" thickBot="1" x14ac:dyDescent="0.25">
      <c r="A4" s="652"/>
      <c r="B4" s="653"/>
      <c r="C4" s="653"/>
      <c r="D4" s="471"/>
      <c r="E4" s="946" t="s">
        <v>10</v>
      </c>
      <c r="F4" s="947"/>
      <c r="G4" s="947"/>
      <c r="H4" s="947"/>
      <c r="I4" s="947"/>
      <c r="J4" s="947"/>
      <c r="K4" s="947"/>
      <c r="L4" s="947"/>
      <c r="M4" s="947"/>
      <c r="N4" s="947"/>
      <c r="O4" s="947"/>
      <c r="P4" s="947"/>
      <c r="Q4" s="947"/>
      <c r="R4" s="947"/>
      <c r="S4" s="948"/>
      <c r="T4" s="652"/>
      <c r="U4" s="653"/>
      <c r="V4" s="653"/>
      <c r="W4" s="471"/>
      <c r="X4" s="946" t="s">
        <v>10</v>
      </c>
      <c r="Y4" s="947"/>
      <c r="Z4" s="947"/>
      <c r="AA4" s="947"/>
      <c r="AB4" s="947"/>
      <c r="AC4" s="947"/>
      <c r="AD4" s="947"/>
      <c r="AE4" s="947"/>
      <c r="AF4" s="947"/>
      <c r="AG4" s="947"/>
      <c r="AH4" s="947"/>
      <c r="AI4" s="947"/>
      <c r="AJ4" s="947"/>
      <c r="AK4" s="947"/>
      <c r="AL4" s="948"/>
    </row>
    <row r="5" spans="1:51" s="9" customFormat="1" ht="15" thickTop="1" x14ac:dyDescent="0.25">
      <c r="A5" s="625" t="s">
        <v>244</v>
      </c>
      <c r="B5" s="625" t="s">
        <v>355</v>
      </c>
      <c r="C5" s="625" t="s">
        <v>246</v>
      </c>
      <c r="D5" s="626" t="s">
        <v>356</v>
      </c>
      <c r="E5" s="943" t="s">
        <v>9</v>
      </c>
      <c r="F5" s="938"/>
      <c r="G5" s="934"/>
      <c r="H5" s="932" t="s">
        <v>8</v>
      </c>
      <c r="I5" s="933"/>
      <c r="J5" s="934"/>
      <c r="K5" s="932" t="s">
        <v>7</v>
      </c>
      <c r="L5" s="933"/>
      <c r="M5" s="934"/>
      <c r="N5" s="932" t="s">
        <v>220</v>
      </c>
      <c r="O5" s="933"/>
      <c r="P5" s="934"/>
      <c r="Q5" s="938" t="s">
        <v>152</v>
      </c>
      <c r="R5" s="933"/>
      <c r="S5" s="940"/>
      <c r="T5" s="625" t="s">
        <v>244</v>
      </c>
      <c r="U5" s="625" t="s">
        <v>355</v>
      </c>
      <c r="V5" s="625" t="s">
        <v>246</v>
      </c>
      <c r="W5" s="626" t="s">
        <v>356</v>
      </c>
      <c r="X5" s="943" t="s">
        <v>189</v>
      </c>
      <c r="Y5" s="933"/>
      <c r="Z5" s="934"/>
      <c r="AA5" s="932" t="s">
        <v>6</v>
      </c>
      <c r="AB5" s="933"/>
      <c r="AC5" s="934"/>
      <c r="AD5" s="932" t="s">
        <v>221</v>
      </c>
      <c r="AE5" s="933"/>
      <c r="AF5" s="934"/>
      <c r="AG5" s="935" t="s">
        <v>232</v>
      </c>
      <c r="AH5" s="936"/>
      <c r="AI5" s="937"/>
      <c r="AJ5" s="938" t="s">
        <v>222</v>
      </c>
      <c r="AK5" s="939"/>
      <c r="AL5" s="940"/>
      <c r="AN5" s="353"/>
      <c r="AO5" s="353"/>
      <c r="AP5" s="353"/>
      <c r="AQ5" s="353"/>
      <c r="AR5" s="353"/>
      <c r="AS5" s="353"/>
      <c r="AT5" s="353"/>
      <c r="AU5" s="353"/>
      <c r="AV5" s="353"/>
      <c r="AW5" s="353"/>
      <c r="AX5" s="353"/>
      <c r="AY5" s="353"/>
    </row>
    <row r="6" spans="1:51" ht="27.75" customHeight="1" thickBot="1" x14ac:dyDescent="0.25">
      <c r="A6" s="166" t="s">
        <v>245</v>
      </c>
      <c r="B6" s="166" t="s">
        <v>356</v>
      </c>
      <c r="C6" s="166" t="s">
        <v>247</v>
      </c>
      <c r="D6" s="472" t="s">
        <v>357</v>
      </c>
      <c r="E6" s="111" t="s">
        <v>5</v>
      </c>
      <c r="F6" s="624" t="s">
        <v>560</v>
      </c>
      <c r="G6" s="654" t="s">
        <v>561</v>
      </c>
      <c r="H6" s="658" t="s">
        <v>5</v>
      </c>
      <c r="I6" s="624" t="s">
        <v>560</v>
      </c>
      <c r="J6" s="654" t="s">
        <v>561</v>
      </c>
      <c r="K6" s="658" t="s">
        <v>5</v>
      </c>
      <c r="L6" s="624" t="s">
        <v>560</v>
      </c>
      <c r="M6" s="654" t="s">
        <v>561</v>
      </c>
      <c r="N6" s="658" t="s">
        <v>5</v>
      </c>
      <c r="O6" s="624" t="s">
        <v>560</v>
      </c>
      <c r="P6" s="654" t="s">
        <v>561</v>
      </c>
      <c r="Q6" s="8" t="s">
        <v>5</v>
      </c>
      <c r="R6" s="624" t="s">
        <v>560</v>
      </c>
      <c r="S6" s="627" t="s">
        <v>561</v>
      </c>
      <c r="T6" s="166" t="s">
        <v>245</v>
      </c>
      <c r="U6" s="166" t="s">
        <v>356</v>
      </c>
      <c r="V6" s="166" t="s">
        <v>247</v>
      </c>
      <c r="W6" s="472" t="s">
        <v>357</v>
      </c>
      <c r="X6" s="111" t="s">
        <v>5</v>
      </c>
      <c r="Y6" s="624" t="s">
        <v>560</v>
      </c>
      <c r="Z6" s="654" t="s">
        <v>561</v>
      </c>
      <c r="AA6" s="658" t="s">
        <v>5</v>
      </c>
      <c r="AB6" s="624" t="s">
        <v>560</v>
      </c>
      <c r="AC6" s="654" t="s">
        <v>561</v>
      </c>
      <c r="AD6" s="658" t="s">
        <v>5</v>
      </c>
      <c r="AE6" s="624" t="s">
        <v>560</v>
      </c>
      <c r="AF6" s="654" t="s">
        <v>561</v>
      </c>
      <c r="AG6" s="658" t="s">
        <v>5</v>
      </c>
      <c r="AH6" s="624" t="s">
        <v>560</v>
      </c>
      <c r="AI6" s="654" t="s">
        <v>561</v>
      </c>
      <c r="AJ6" s="8" t="s">
        <v>5</v>
      </c>
      <c r="AK6" s="624" t="s">
        <v>560</v>
      </c>
      <c r="AL6" s="627" t="s">
        <v>561</v>
      </c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</row>
    <row r="7" spans="1:51" s="815" customFormat="1" ht="13.5" thickTop="1" x14ac:dyDescent="0.2">
      <c r="A7" s="820" t="s">
        <v>614</v>
      </c>
      <c r="B7" s="821" t="s">
        <v>627</v>
      </c>
      <c r="C7" s="821" t="s">
        <v>637</v>
      </c>
      <c r="D7" s="903" t="s">
        <v>358</v>
      </c>
      <c r="E7" s="823">
        <f>'Combustion (Proposed)'!L51+'EQUI 4'!H36</f>
        <v>1.4719705808826156</v>
      </c>
      <c r="F7" s="784">
        <f>'Combustion (Proposed)'!M51+'EQUI 4'!J36</f>
        <v>59.826548791324676</v>
      </c>
      <c r="G7" s="669">
        <f>'Combustion (Proposed)'!N51+'EQUI 4'!I36</f>
        <v>6.4472311442658565</v>
      </c>
      <c r="H7" s="668">
        <f>'Combustion (Proposed)'!L52+'EQUI 4'!H37</f>
        <v>1.302139923574158</v>
      </c>
      <c r="I7" s="135">
        <f>'Combustion (Proposed)'!M52+'EQUI 4'!J37</f>
        <v>53.795772865254804</v>
      </c>
      <c r="J7" s="669">
        <f>'Combustion (Proposed)'!N52+'EQUI 4'!I37</f>
        <v>5.7033728652548117</v>
      </c>
      <c r="K7" s="668">
        <f>'Combustion (Proposed)'!L53+'EQUI 4'!H38</f>
        <v>0.78359046000457977</v>
      </c>
      <c r="L7" s="135">
        <f>'Combustion (Proposed)'!M53+'EQUI 4'!J38</f>
        <v>32.139161508937704</v>
      </c>
      <c r="M7" s="669">
        <f>'Combustion (Proposed)'!N53+'EQUI 4'!I38</f>
        <v>3.4321262148200593</v>
      </c>
      <c r="N7" s="668">
        <f>'Combustion (Proposed)'!L54</f>
        <v>0.25356237277240107</v>
      </c>
      <c r="O7" s="135">
        <f>'Combustion (Proposed)'!M54</f>
        <v>1.1106031927431168</v>
      </c>
      <c r="P7" s="669">
        <f>'Combustion (Proposed)'!N54</f>
        <v>1.1106031927431168</v>
      </c>
      <c r="Q7" s="784">
        <f>'Combustion (Proposed)'!L55</f>
        <v>0.71426020499267895</v>
      </c>
      <c r="R7" s="135">
        <f>'Combustion (Proposed)'!M55</f>
        <v>3.1284596978679335</v>
      </c>
      <c r="S7" s="785">
        <f>'Combustion (Proposed)'!N55</f>
        <v>3.1284596978679335</v>
      </c>
      <c r="T7" s="820" t="s">
        <v>614</v>
      </c>
      <c r="U7" s="821" t="s">
        <v>627</v>
      </c>
      <c r="V7" s="821" t="s">
        <v>637</v>
      </c>
      <c r="W7" s="903" t="s">
        <v>358</v>
      </c>
      <c r="X7" s="823">
        <f>'Combustion (Proposed)'!L57</f>
        <v>0.41176470588235292</v>
      </c>
      <c r="Y7" s="135">
        <f>'Combustion (Proposed)'!M57</f>
        <v>1.8035294117647058</v>
      </c>
      <c r="Z7" s="669">
        <f>'Combustion (Proposed)'!N57</f>
        <v>1.8035294117647058</v>
      </c>
      <c r="AA7" s="668">
        <f>'Combustion (Proposed)'!O121+'EQUI 4'!H39</f>
        <v>0.24370491803278688</v>
      </c>
      <c r="AB7" s="135">
        <f>'Combustion (Proposed)'!P121+'EQUI 4'!I39</f>
        <v>1.0674275409836067</v>
      </c>
      <c r="AC7" s="669">
        <f>'Combustion (Proposed)'!Q121+'EQUI 4'!I39</f>
        <v>1.0674275409836067</v>
      </c>
      <c r="AD7" s="779">
        <f>'Combustion (Proposed)'!L62</f>
        <v>799.21359951430338</v>
      </c>
      <c r="AE7" s="780">
        <f>'Combustion (Proposed)'!M62</f>
        <v>3500.5555658726489</v>
      </c>
      <c r="AF7" s="781">
        <f>'Combustion (Proposed)'!N62</f>
        <v>3500.5555658726489</v>
      </c>
      <c r="AG7" s="782">
        <f>'Combustion (Proposed)'!L29</f>
        <v>8.8235294117647058E-3</v>
      </c>
      <c r="AH7" s="783">
        <f>'Combustion (Proposed)'!M29</f>
        <v>3.8647058823529416E-2</v>
      </c>
      <c r="AI7" s="669">
        <f>'Combustion (Proposed)'!N29</f>
        <v>3.8647058823529416E-2</v>
      </c>
      <c r="AJ7" s="784">
        <f>'Combustion (Proposed)'!L49</f>
        <v>9.2605735294117638E-3</v>
      </c>
      <c r="AK7" s="135">
        <f>'Combustion (Proposed)'!M49</f>
        <v>4.0561312058823525E-2</v>
      </c>
      <c r="AL7" s="785">
        <f>'Combustion (Proposed)'!N49</f>
        <v>4.0561312058823525E-2</v>
      </c>
      <c r="AN7" s="350"/>
    </row>
    <row r="8" spans="1:51" s="815" customFormat="1" ht="25.5" x14ac:dyDescent="0.2">
      <c r="A8" s="820" t="s">
        <v>615</v>
      </c>
      <c r="B8" s="821" t="s">
        <v>628</v>
      </c>
      <c r="C8" s="821" t="s">
        <v>638</v>
      </c>
      <c r="D8" s="822" t="s">
        <v>579</v>
      </c>
      <c r="E8" s="823">
        <f>'EQUI 20'!E52</f>
        <v>1.0565</v>
      </c>
      <c r="F8" s="784">
        <f>'EQUI 20'!F52</f>
        <v>46.274699999999996</v>
      </c>
      <c r="G8" s="669">
        <f>'EQUI 20'!G52</f>
        <v>4.6274699999999998</v>
      </c>
      <c r="H8" s="668">
        <f>'EQUI 20'!E53</f>
        <v>1.017075</v>
      </c>
      <c r="I8" s="135">
        <f>'EQUI 20'!F53</f>
        <v>44.547884999999994</v>
      </c>
      <c r="J8" s="669">
        <f>'EQUI 20'!G53</f>
        <v>4.4547884999999994</v>
      </c>
      <c r="K8" s="668">
        <f>'EQUI 20'!E54</f>
        <v>0.9678500000000001</v>
      </c>
      <c r="L8" s="135">
        <f>'EQUI 20'!F54</f>
        <v>42.391829999999992</v>
      </c>
      <c r="M8" s="669">
        <f>'EQUI 20'!G54</f>
        <v>4.2391830000000006</v>
      </c>
      <c r="N8" s="824" t="s">
        <v>233</v>
      </c>
      <c r="O8" s="825"/>
      <c r="P8" s="826" t="s">
        <v>233</v>
      </c>
      <c r="Q8" s="827" t="s">
        <v>233</v>
      </c>
      <c r="R8" s="825"/>
      <c r="S8" s="828" t="s">
        <v>233</v>
      </c>
      <c r="T8" s="820" t="s">
        <v>615</v>
      </c>
      <c r="U8" s="821" t="s">
        <v>628</v>
      </c>
      <c r="V8" s="821" t="s">
        <v>638</v>
      </c>
      <c r="W8" s="822" t="s">
        <v>579</v>
      </c>
      <c r="X8" s="829" t="s">
        <v>233</v>
      </c>
      <c r="Y8" s="830"/>
      <c r="Z8" s="831" t="s">
        <v>233</v>
      </c>
      <c r="AA8" s="668">
        <f>'EQUI 20'!E55</f>
        <v>0.17</v>
      </c>
      <c r="AB8" s="135">
        <f>'EQUI 20'!F55</f>
        <v>0.74460000000000004</v>
      </c>
      <c r="AC8" s="669">
        <f>'EQUI 20'!G55</f>
        <v>0.74460000000000004</v>
      </c>
      <c r="AD8" s="824" t="s">
        <v>233</v>
      </c>
      <c r="AE8" s="825"/>
      <c r="AF8" s="826" t="s">
        <v>233</v>
      </c>
      <c r="AG8" s="824" t="s">
        <v>233</v>
      </c>
      <c r="AH8" s="825"/>
      <c r="AI8" s="826" t="s">
        <v>233</v>
      </c>
      <c r="AJ8" s="827" t="s">
        <v>233</v>
      </c>
      <c r="AK8" s="832"/>
      <c r="AL8" s="828" t="s">
        <v>233</v>
      </c>
    </row>
    <row r="9" spans="1:51" s="815" customFormat="1" ht="25.5" x14ac:dyDescent="0.2">
      <c r="A9" s="820" t="s">
        <v>616</v>
      </c>
      <c r="B9" s="833" t="s">
        <v>629</v>
      </c>
      <c r="C9" s="821" t="s">
        <v>639</v>
      </c>
      <c r="D9" s="822" t="s">
        <v>359</v>
      </c>
      <c r="E9" s="823">
        <f>'EQUI 21'!M9</f>
        <v>7.3000000000000061E-3</v>
      </c>
      <c r="F9" s="784">
        <f>'EQUI 21'!O9</f>
        <v>3.1974</v>
      </c>
      <c r="G9" s="669">
        <f>'EQUI 21'!N9</f>
        <v>3.1974000000000023E-2</v>
      </c>
      <c r="H9" s="834">
        <f>'EQUI 21'!M10</f>
        <v>4.7000000000000037E-3</v>
      </c>
      <c r="I9" s="135">
        <f>'EQUI 21'!O10</f>
        <v>2.0585999999999998</v>
      </c>
      <c r="J9" s="669">
        <f>'EQUI 21'!N10</f>
        <v>2.0586000000000014E-2</v>
      </c>
      <c r="K9" s="834">
        <f>'EQUI 21'!M11</f>
        <v>4.7000000000000037E-3</v>
      </c>
      <c r="L9" s="835">
        <f>'EQUI 21'!O11</f>
        <v>2.0585999999999998</v>
      </c>
      <c r="M9" s="669">
        <f>'EQUI 21'!N11</f>
        <v>2.0586000000000014E-2</v>
      </c>
      <c r="N9" s="824" t="s">
        <v>233</v>
      </c>
      <c r="O9" s="825"/>
      <c r="P9" s="826" t="s">
        <v>233</v>
      </c>
      <c r="Q9" s="827" t="s">
        <v>233</v>
      </c>
      <c r="R9" s="825"/>
      <c r="S9" s="828" t="s">
        <v>233</v>
      </c>
      <c r="T9" s="820" t="s">
        <v>616</v>
      </c>
      <c r="U9" s="833" t="s">
        <v>629</v>
      </c>
      <c r="V9" s="821" t="s">
        <v>639</v>
      </c>
      <c r="W9" s="822" t="s">
        <v>359</v>
      </c>
      <c r="X9" s="829" t="s">
        <v>233</v>
      </c>
      <c r="Y9" s="830"/>
      <c r="Z9" s="831" t="s">
        <v>233</v>
      </c>
      <c r="AA9" s="824" t="s">
        <v>233</v>
      </c>
      <c r="AB9" s="825"/>
      <c r="AC9" s="826" t="s">
        <v>233</v>
      </c>
      <c r="AD9" s="824" t="s">
        <v>233</v>
      </c>
      <c r="AE9" s="825"/>
      <c r="AF9" s="826" t="s">
        <v>233</v>
      </c>
      <c r="AG9" s="824" t="s">
        <v>233</v>
      </c>
      <c r="AH9" s="825"/>
      <c r="AI9" s="826" t="s">
        <v>233</v>
      </c>
      <c r="AJ9" s="827" t="s">
        <v>233</v>
      </c>
      <c r="AK9" s="832"/>
      <c r="AL9" s="828" t="s">
        <v>233</v>
      </c>
    </row>
    <row r="10" spans="1:51" s="815" customFormat="1" x14ac:dyDescent="0.2">
      <c r="A10" s="820" t="s">
        <v>617</v>
      </c>
      <c r="B10" s="904" t="s">
        <v>233</v>
      </c>
      <c r="C10" s="821" t="s">
        <v>640</v>
      </c>
      <c r="D10" s="903" t="s">
        <v>361</v>
      </c>
      <c r="E10" s="823">
        <f>'Combustion (Proposed)'!O116</f>
        <v>0.41437091532445264</v>
      </c>
      <c r="F10" s="784">
        <f>'Combustion (Proposed)'!P116</f>
        <v>1.8149446091211026</v>
      </c>
      <c r="G10" s="669">
        <f>'Combustion (Proposed)'!Q116</f>
        <v>1.8149446091211026</v>
      </c>
      <c r="H10" s="668">
        <f>'Combustion (Proposed)'!O117</f>
        <v>0.28880397128673974</v>
      </c>
      <c r="I10" s="135">
        <f>'Combustion (Proposed)'!P117</f>
        <v>1.2649613942359201</v>
      </c>
      <c r="J10" s="669">
        <f>'Combustion (Proposed)'!Q117</f>
        <v>1.2649613942359201</v>
      </c>
      <c r="K10" s="668">
        <f>'Combustion (Proposed)'!O118</f>
        <v>0.19462876325845505</v>
      </c>
      <c r="L10" s="135">
        <f>'Combustion (Proposed)'!P118</f>
        <v>0.85247398307203315</v>
      </c>
      <c r="M10" s="669">
        <f>'Combustion (Proposed)'!Q118</f>
        <v>0.85247398307203315</v>
      </c>
      <c r="N10" s="668">
        <f>'Combustion (Proposed)'!O119</f>
        <v>2.1974999999999998</v>
      </c>
      <c r="O10" s="135">
        <f>'Combustion (Proposed)'!P119</f>
        <v>9.6250499999999999</v>
      </c>
      <c r="P10" s="669">
        <f>'Combustion (Proposed)'!Q119</f>
        <v>9.6250499999999999</v>
      </c>
      <c r="Q10" s="784">
        <f>'Combustion (Proposed)'!O120</f>
        <v>3.139309660988729</v>
      </c>
      <c r="R10" s="135">
        <f>'Combustion (Proposed)'!P120</f>
        <v>13.750176315130632</v>
      </c>
      <c r="S10" s="785">
        <f>'Combustion (Proposed)'!Q120</f>
        <v>13.750176315130632</v>
      </c>
      <c r="T10" s="820" t="s">
        <v>617</v>
      </c>
      <c r="U10" s="904" t="s">
        <v>233</v>
      </c>
      <c r="V10" s="821" t="s">
        <v>640</v>
      </c>
      <c r="W10" s="903" t="s">
        <v>361</v>
      </c>
      <c r="X10" s="823">
        <f>'Combustion (Proposed)'!O122</f>
        <v>1.4477647058823528</v>
      </c>
      <c r="Y10" s="135">
        <f>'Combustion (Proposed)'!P122</f>
        <v>6.341209411764706</v>
      </c>
      <c r="Z10" s="669">
        <f>'Combustion (Proposed)'!Q122</f>
        <v>6.341209411764706</v>
      </c>
      <c r="AA10" s="668">
        <f>'Combustion (Proposed)'!O121</f>
        <v>0.15370491803278688</v>
      </c>
      <c r="AB10" s="135">
        <f>'Combustion (Proposed)'!P121</f>
        <v>0.6732275409836066</v>
      </c>
      <c r="AC10" s="669">
        <f>'Combustion (Proposed)'!Q121</f>
        <v>0.6732275409836066</v>
      </c>
      <c r="AD10" s="786">
        <f>'Combustion (Proposed)'!O129</f>
        <v>3178.6310099999992</v>
      </c>
      <c r="AE10" s="787">
        <f>'Combustion (Proposed)'!P129</f>
        <v>13922.403823799996</v>
      </c>
      <c r="AF10" s="781">
        <f>'Combustion (Proposed)'!Q129</f>
        <v>13922.403823799996</v>
      </c>
      <c r="AG10" s="782">
        <f>'Combustion (Proposed)'!O94</f>
        <v>3.1023529411764703E-2</v>
      </c>
      <c r="AH10" s="783">
        <f>'Combustion (Proposed)'!P94</f>
        <v>0.13588305882352941</v>
      </c>
      <c r="AI10" s="669">
        <f>'Combustion (Proposed)'!Q94</f>
        <v>0.13588305882352941</v>
      </c>
      <c r="AJ10" s="784">
        <f>'Combustion (Proposed)'!O114</f>
        <v>3.2560176529411761E-2</v>
      </c>
      <c r="AK10" s="135">
        <f>'Combustion (Proposed)'!P114</f>
        <v>0.14261357319882351</v>
      </c>
      <c r="AL10" s="785">
        <f>'Combustion (Proposed)'!Q114</f>
        <v>0.14261357319882351</v>
      </c>
      <c r="AN10" s="350"/>
    </row>
    <row r="11" spans="1:51" s="815" customFormat="1" x14ac:dyDescent="0.2">
      <c r="A11" s="820" t="s">
        <v>618</v>
      </c>
      <c r="B11" s="821" t="s">
        <v>630</v>
      </c>
      <c r="C11" s="821" t="s">
        <v>641</v>
      </c>
      <c r="D11" s="822" t="s">
        <v>363</v>
      </c>
      <c r="E11" s="823">
        <f>'EQUI 1, EQUI 2'!M9</f>
        <v>7.3000000000000065E-2</v>
      </c>
      <c r="F11" s="784">
        <f>'EQUI 1, EQUI 2'!O9</f>
        <v>31.974</v>
      </c>
      <c r="G11" s="669">
        <f>'EQUI 1, EQUI 2'!N9</f>
        <v>0.3197400000000003</v>
      </c>
      <c r="H11" s="668">
        <f>'EQUI 1, EQUI 2'!M10</f>
        <v>4.7000000000000035E-2</v>
      </c>
      <c r="I11" s="135">
        <f>'EQUI 1, EQUI 2'!O10</f>
        <v>20.585999999999995</v>
      </c>
      <c r="J11" s="669">
        <f>'EQUI 1, EQUI 2'!N10</f>
        <v>0.20586000000000015</v>
      </c>
      <c r="K11" s="668">
        <f>'EQUI 1, EQUI 2'!M11</f>
        <v>4.7000000000000035E-2</v>
      </c>
      <c r="L11" s="135">
        <f>'EQUI 1, EQUI 2'!O11</f>
        <v>20.585999999999995</v>
      </c>
      <c r="M11" s="669">
        <f>'EQUI 1, EQUI 2'!N11</f>
        <v>0.20586000000000015</v>
      </c>
      <c r="N11" s="824" t="s">
        <v>233</v>
      </c>
      <c r="O11" s="825"/>
      <c r="P11" s="826" t="s">
        <v>233</v>
      </c>
      <c r="Q11" s="827" t="s">
        <v>233</v>
      </c>
      <c r="R11" s="825"/>
      <c r="S11" s="828" t="s">
        <v>233</v>
      </c>
      <c r="T11" s="820" t="s">
        <v>618</v>
      </c>
      <c r="U11" s="821" t="s">
        <v>630</v>
      </c>
      <c r="V11" s="821" t="s">
        <v>641</v>
      </c>
      <c r="W11" s="822" t="s">
        <v>363</v>
      </c>
      <c r="X11" s="829" t="s">
        <v>233</v>
      </c>
      <c r="Y11" s="830"/>
      <c r="Z11" s="831" t="s">
        <v>233</v>
      </c>
      <c r="AA11" s="824" t="s">
        <v>233</v>
      </c>
      <c r="AB11" s="825"/>
      <c r="AC11" s="826" t="s">
        <v>233</v>
      </c>
      <c r="AD11" s="824" t="s">
        <v>233</v>
      </c>
      <c r="AE11" s="825"/>
      <c r="AF11" s="826" t="s">
        <v>233</v>
      </c>
      <c r="AG11" s="824" t="s">
        <v>233</v>
      </c>
      <c r="AH11" s="825"/>
      <c r="AI11" s="826" t="s">
        <v>233</v>
      </c>
      <c r="AJ11" s="827" t="s">
        <v>233</v>
      </c>
      <c r="AK11" s="832"/>
      <c r="AL11" s="828" t="s">
        <v>233</v>
      </c>
    </row>
    <row r="12" spans="1:51" s="815" customFormat="1" x14ac:dyDescent="0.2">
      <c r="A12" s="820" t="s">
        <v>619</v>
      </c>
      <c r="B12" s="821" t="s">
        <v>631</v>
      </c>
      <c r="C12" s="821" t="s">
        <v>642</v>
      </c>
      <c r="D12" s="822" t="s">
        <v>364</v>
      </c>
      <c r="E12" s="823">
        <f>'EQUI 1, EQUI 2'!M20</f>
        <v>7.3000000000000065E-2</v>
      </c>
      <c r="F12" s="784">
        <f>'EQUI 1, EQUI 2'!O20</f>
        <v>31.974</v>
      </c>
      <c r="G12" s="669">
        <f>'EQUI 1, EQUI 2'!N20</f>
        <v>0.3197400000000003</v>
      </c>
      <c r="H12" s="668">
        <f>'EQUI 1, EQUI 2'!M21</f>
        <v>4.7000000000000035E-2</v>
      </c>
      <c r="I12" s="135">
        <f>'EQUI 1, EQUI 2'!O21</f>
        <v>20.585999999999995</v>
      </c>
      <c r="J12" s="669">
        <f>'EQUI 1, EQUI 2'!N21</f>
        <v>0.20586000000000015</v>
      </c>
      <c r="K12" s="668">
        <f>'EQUI 1, EQUI 2'!M22</f>
        <v>4.7000000000000035E-2</v>
      </c>
      <c r="L12" s="135">
        <f>'EQUI 1, EQUI 2'!O22</f>
        <v>20.585999999999995</v>
      </c>
      <c r="M12" s="669">
        <f>'EQUI 1, EQUI 2'!N22</f>
        <v>0.20586000000000015</v>
      </c>
      <c r="N12" s="824" t="s">
        <v>233</v>
      </c>
      <c r="O12" s="825"/>
      <c r="P12" s="826" t="s">
        <v>233</v>
      </c>
      <c r="Q12" s="827" t="s">
        <v>233</v>
      </c>
      <c r="R12" s="825"/>
      <c r="S12" s="828" t="s">
        <v>233</v>
      </c>
      <c r="T12" s="820" t="s">
        <v>619</v>
      </c>
      <c r="U12" s="821" t="s">
        <v>631</v>
      </c>
      <c r="V12" s="821" t="s">
        <v>642</v>
      </c>
      <c r="W12" s="822" t="s">
        <v>364</v>
      </c>
      <c r="X12" s="829" t="s">
        <v>233</v>
      </c>
      <c r="Y12" s="830"/>
      <c r="Z12" s="831" t="s">
        <v>233</v>
      </c>
      <c r="AA12" s="824" t="s">
        <v>233</v>
      </c>
      <c r="AB12" s="825"/>
      <c r="AC12" s="826" t="s">
        <v>233</v>
      </c>
      <c r="AD12" s="824" t="s">
        <v>233</v>
      </c>
      <c r="AE12" s="825"/>
      <c r="AF12" s="826" t="s">
        <v>233</v>
      </c>
      <c r="AG12" s="824" t="s">
        <v>233</v>
      </c>
      <c r="AH12" s="825"/>
      <c r="AI12" s="826" t="s">
        <v>233</v>
      </c>
      <c r="AJ12" s="827" t="s">
        <v>233</v>
      </c>
      <c r="AK12" s="832"/>
      <c r="AL12" s="828" t="s">
        <v>233</v>
      </c>
    </row>
    <row r="13" spans="1:51" s="815" customFormat="1" ht="25.5" x14ac:dyDescent="0.2">
      <c r="A13" s="820" t="s">
        <v>620</v>
      </c>
      <c r="B13" s="821" t="s">
        <v>632</v>
      </c>
      <c r="C13" s="821" t="s">
        <v>643</v>
      </c>
      <c r="D13" s="822" t="s">
        <v>365</v>
      </c>
      <c r="E13" s="823">
        <f>'EQUI 3, EQUI 16, EQUI 17'!H9</f>
        <v>0.33500000000000002</v>
      </c>
      <c r="F13" s="784">
        <f>'EQUI 3, EQUI 16, EQUI 17'!J9</f>
        <v>14.673</v>
      </c>
      <c r="G13" s="669">
        <f>'EQUI 3, EQUI 16, EQUI 17'!I9</f>
        <v>1.4673</v>
      </c>
      <c r="H13" s="668">
        <f>'EQUI 3, EQUI 16, EQUI 17'!H10</f>
        <v>0.28475</v>
      </c>
      <c r="I13" s="135">
        <f>'EQUI 3, EQUI 16, EQUI 17'!J10</f>
        <v>12.472050000000001</v>
      </c>
      <c r="J13" s="669">
        <f>'EQUI 3, EQUI 16, EQUI 17'!I10</f>
        <v>1.2472049999999999</v>
      </c>
      <c r="K13" s="668">
        <f>'EQUI 3, EQUI 16, EQUI 17'!H11</f>
        <v>0.10050000000000002</v>
      </c>
      <c r="L13" s="135">
        <f>'EQUI 3, EQUI 16, EQUI 17'!J11</f>
        <v>4.4019000000000004</v>
      </c>
      <c r="M13" s="669">
        <f>'EQUI 3, EQUI 16, EQUI 17'!I11</f>
        <v>0.44019000000000008</v>
      </c>
      <c r="N13" s="824" t="s">
        <v>233</v>
      </c>
      <c r="O13" s="825"/>
      <c r="P13" s="826" t="s">
        <v>233</v>
      </c>
      <c r="Q13" s="827" t="s">
        <v>233</v>
      </c>
      <c r="R13" s="825"/>
      <c r="S13" s="828" t="s">
        <v>233</v>
      </c>
      <c r="T13" s="820" t="s">
        <v>620</v>
      </c>
      <c r="U13" s="821" t="s">
        <v>632</v>
      </c>
      <c r="V13" s="821" t="s">
        <v>643</v>
      </c>
      <c r="W13" s="822" t="s">
        <v>365</v>
      </c>
      <c r="X13" s="829" t="s">
        <v>233</v>
      </c>
      <c r="Y13" s="830"/>
      <c r="Z13" s="831" t="s">
        <v>233</v>
      </c>
      <c r="AA13" s="824" t="s">
        <v>233</v>
      </c>
      <c r="AB13" s="825"/>
      <c r="AC13" s="826" t="s">
        <v>233</v>
      </c>
      <c r="AD13" s="824" t="s">
        <v>233</v>
      </c>
      <c r="AE13" s="825"/>
      <c r="AF13" s="826" t="s">
        <v>233</v>
      </c>
      <c r="AG13" s="824" t="s">
        <v>233</v>
      </c>
      <c r="AH13" s="825"/>
      <c r="AI13" s="826" t="s">
        <v>233</v>
      </c>
      <c r="AJ13" s="827" t="s">
        <v>233</v>
      </c>
      <c r="AK13" s="832"/>
      <c r="AL13" s="828" t="s">
        <v>233</v>
      </c>
    </row>
    <row r="14" spans="1:51" s="815" customFormat="1" ht="25.5" x14ac:dyDescent="0.2">
      <c r="A14" s="820" t="s">
        <v>621</v>
      </c>
      <c r="B14" s="821" t="s">
        <v>633</v>
      </c>
      <c r="C14" s="821" t="s">
        <v>643</v>
      </c>
      <c r="D14" s="822" t="s">
        <v>370</v>
      </c>
      <c r="E14" s="823">
        <f>'EQUI 3, EQUI 16, EQUI 17'!H19</f>
        <v>1</v>
      </c>
      <c r="F14" s="784">
        <f>'EQUI 3, EQUI 16, EQUI 17'!J19</f>
        <v>43.8</v>
      </c>
      <c r="G14" s="669">
        <f>'EQUI 3, EQUI 16, EQUI 17'!I19</f>
        <v>4.38</v>
      </c>
      <c r="H14" s="668">
        <f>'EQUI 3, EQUI 16, EQUI 17'!H20</f>
        <v>0.89500000000000002</v>
      </c>
      <c r="I14" s="135">
        <f>'EQUI 3, EQUI 16, EQUI 17'!J20</f>
        <v>39.200999999999993</v>
      </c>
      <c r="J14" s="669">
        <f>'EQUI 3, EQUI 16, EQUI 17'!I20</f>
        <v>3.9201000000000001</v>
      </c>
      <c r="K14" s="668">
        <f>'EQUI 3, EQUI 16, EQUI 17'!H21</f>
        <v>0.51000000000000012</v>
      </c>
      <c r="L14" s="135">
        <f>'EQUI 3, EQUI 16, EQUI 17'!J21</f>
        <v>22.338000000000001</v>
      </c>
      <c r="M14" s="669">
        <f>'EQUI 3, EQUI 16, EQUI 17'!I21</f>
        <v>2.2338000000000005</v>
      </c>
      <c r="N14" s="824" t="s">
        <v>233</v>
      </c>
      <c r="O14" s="825"/>
      <c r="P14" s="826" t="s">
        <v>233</v>
      </c>
      <c r="Q14" s="827" t="s">
        <v>233</v>
      </c>
      <c r="R14" s="825"/>
      <c r="S14" s="828" t="s">
        <v>233</v>
      </c>
      <c r="T14" s="820" t="s">
        <v>621</v>
      </c>
      <c r="U14" s="821" t="s">
        <v>633</v>
      </c>
      <c r="V14" s="821" t="s">
        <v>643</v>
      </c>
      <c r="W14" s="822" t="s">
        <v>370</v>
      </c>
      <c r="X14" s="829" t="s">
        <v>233</v>
      </c>
      <c r="Y14" s="830"/>
      <c r="Z14" s="831" t="s">
        <v>233</v>
      </c>
      <c r="AA14" s="668">
        <f>'EQUI 3, EQUI 16, EQUI 17'!H22</f>
        <v>1.0643750000000001</v>
      </c>
      <c r="AB14" s="135">
        <f>'EQUI 3, EQUI 16, EQUI 17'!J22</f>
        <v>4.6619625000000005</v>
      </c>
      <c r="AC14" s="669">
        <f>'EQUI 3, EQUI 16, EQUI 17'!I22</f>
        <v>4.6619625000000005</v>
      </c>
      <c r="AD14" s="824" t="s">
        <v>233</v>
      </c>
      <c r="AE14" s="825"/>
      <c r="AF14" s="826" t="s">
        <v>233</v>
      </c>
      <c r="AG14" s="824" t="s">
        <v>233</v>
      </c>
      <c r="AH14" s="825"/>
      <c r="AI14" s="826" t="s">
        <v>233</v>
      </c>
      <c r="AJ14" s="827" t="s">
        <v>233</v>
      </c>
      <c r="AK14" s="832"/>
      <c r="AL14" s="828" t="s">
        <v>233</v>
      </c>
    </row>
    <row r="15" spans="1:51" s="815" customFormat="1" ht="25.5" x14ac:dyDescent="0.2">
      <c r="A15" s="820" t="s">
        <v>622</v>
      </c>
      <c r="B15" s="821" t="s">
        <v>633</v>
      </c>
      <c r="C15" s="821" t="s">
        <v>643</v>
      </c>
      <c r="D15" s="822" t="s">
        <v>371</v>
      </c>
      <c r="E15" s="823">
        <f>'EQUI 3, EQUI 16, EQUI 17'!H31</f>
        <v>1</v>
      </c>
      <c r="F15" s="784">
        <f>'EQUI 3, EQUI 16, EQUI 17'!J31</f>
        <v>43.8</v>
      </c>
      <c r="G15" s="669">
        <f>'EQUI 3, EQUI 16, EQUI 17'!I31</f>
        <v>4.38</v>
      </c>
      <c r="H15" s="668">
        <f>'EQUI 3, EQUI 16, EQUI 17'!H32</f>
        <v>0.89500000000000002</v>
      </c>
      <c r="I15" s="135">
        <f>'EQUI 3, EQUI 16, EQUI 17'!J32</f>
        <v>39.200999999999993</v>
      </c>
      <c r="J15" s="669">
        <f>'EQUI 3, EQUI 16, EQUI 17'!I32</f>
        <v>3.9201000000000001</v>
      </c>
      <c r="K15" s="668">
        <f>'EQUI 3, EQUI 16, EQUI 17'!H33</f>
        <v>0.51000000000000012</v>
      </c>
      <c r="L15" s="135">
        <f>'EQUI 3, EQUI 16, EQUI 17'!J33</f>
        <v>22.338000000000001</v>
      </c>
      <c r="M15" s="669">
        <f>'EQUI 3, EQUI 16, EQUI 17'!I33</f>
        <v>2.2338000000000005</v>
      </c>
      <c r="N15" s="824" t="s">
        <v>233</v>
      </c>
      <c r="O15" s="825"/>
      <c r="P15" s="826" t="s">
        <v>233</v>
      </c>
      <c r="Q15" s="827" t="s">
        <v>233</v>
      </c>
      <c r="R15" s="825"/>
      <c r="S15" s="828" t="s">
        <v>233</v>
      </c>
      <c r="T15" s="820" t="s">
        <v>622</v>
      </c>
      <c r="U15" s="821" t="s">
        <v>633</v>
      </c>
      <c r="V15" s="821" t="s">
        <v>643</v>
      </c>
      <c r="W15" s="822" t="s">
        <v>371</v>
      </c>
      <c r="X15" s="829" t="s">
        <v>233</v>
      </c>
      <c r="Y15" s="830"/>
      <c r="Z15" s="831" t="s">
        <v>233</v>
      </c>
      <c r="AA15" s="668">
        <f>'EQUI 3, EQUI 16, EQUI 17'!H34</f>
        <v>1.0643750000000001</v>
      </c>
      <c r="AB15" s="135">
        <f>'EQUI 3, EQUI 16, EQUI 17'!J34</f>
        <v>4.6619625000000005</v>
      </c>
      <c r="AC15" s="669">
        <f>'EQUI 3, EQUI 16, EQUI 17'!I34</f>
        <v>4.6619625000000005</v>
      </c>
      <c r="AD15" s="824" t="s">
        <v>233</v>
      </c>
      <c r="AE15" s="825"/>
      <c r="AF15" s="826" t="s">
        <v>233</v>
      </c>
      <c r="AG15" s="824" t="s">
        <v>233</v>
      </c>
      <c r="AH15" s="825"/>
      <c r="AI15" s="826" t="s">
        <v>233</v>
      </c>
      <c r="AJ15" s="827" t="s">
        <v>233</v>
      </c>
      <c r="AK15" s="832"/>
      <c r="AL15" s="828" t="s">
        <v>233</v>
      </c>
    </row>
    <row r="16" spans="1:51" s="815" customFormat="1" ht="25.5" x14ac:dyDescent="0.2">
      <c r="A16" s="820" t="s">
        <v>623</v>
      </c>
      <c r="B16" s="821" t="s">
        <v>634</v>
      </c>
      <c r="C16" s="821" t="s">
        <v>644</v>
      </c>
      <c r="D16" s="822" t="s">
        <v>366</v>
      </c>
      <c r="E16" s="823">
        <f>'EQUI 18'!M9</f>
        <v>9.1250000000000081E-3</v>
      </c>
      <c r="F16" s="784">
        <f>'EQUI 18'!O9</f>
        <v>3.99675</v>
      </c>
      <c r="G16" s="669">
        <f>'EQUI 18'!N9</f>
        <v>3.9967500000000038E-2</v>
      </c>
      <c r="H16" s="668">
        <f>'EQUI 18'!M10</f>
        <v>5.8750000000000044E-3</v>
      </c>
      <c r="I16" s="135">
        <f>'EQUI 18'!O10</f>
        <v>2.5732499999999994</v>
      </c>
      <c r="J16" s="669">
        <f>'EQUI 18'!N10</f>
        <v>2.5732500000000019E-2</v>
      </c>
      <c r="K16" s="668">
        <f>'EQUI 18'!M11</f>
        <v>5.8750000000000044E-3</v>
      </c>
      <c r="L16" s="135">
        <f>'EQUI 18'!O11</f>
        <v>2.5732499999999994</v>
      </c>
      <c r="M16" s="669">
        <f>'EQUI 18'!N11</f>
        <v>2.5732500000000019E-2</v>
      </c>
      <c r="N16" s="824" t="s">
        <v>233</v>
      </c>
      <c r="O16" s="825"/>
      <c r="P16" s="826" t="s">
        <v>233</v>
      </c>
      <c r="Q16" s="827" t="s">
        <v>233</v>
      </c>
      <c r="R16" s="825"/>
      <c r="S16" s="828" t="s">
        <v>233</v>
      </c>
      <c r="T16" s="820" t="s">
        <v>623</v>
      </c>
      <c r="U16" s="821" t="s">
        <v>634</v>
      </c>
      <c r="V16" s="821" t="s">
        <v>644</v>
      </c>
      <c r="W16" s="822" t="s">
        <v>366</v>
      </c>
      <c r="X16" s="829" t="s">
        <v>233</v>
      </c>
      <c r="Y16" s="830"/>
      <c r="Z16" s="831" t="s">
        <v>233</v>
      </c>
      <c r="AA16" s="837" t="s">
        <v>233</v>
      </c>
      <c r="AB16" s="830"/>
      <c r="AC16" s="831" t="s">
        <v>233</v>
      </c>
      <c r="AD16" s="824" t="s">
        <v>233</v>
      </c>
      <c r="AE16" s="825"/>
      <c r="AF16" s="826" t="s">
        <v>233</v>
      </c>
      <c r="AG16" s="824" t="s">
        <v>233</v>
      </c>
      <c r="AH16" s="825"/>
      <c r="AI16" s="826" t="s">
        <v>233</v>
      </c>
      <c r="AJ16" s="827" t="s">
        <v>233</v>
      </c>
      <c r="AK16" s="832"/>
      <c r="AL16" s="828" t="s">
        <v>233</v>
      </c>
    </row>
    <row r="17" spans="1:40" s="815" customFormat="1" x14ac:dyDescent="0.2">
      <c r="A17" s="838" t="s">
        <v>624</v>
      </c>
      <c r="B17" s="838" t="s">
        <v>635</v>
      </c>
      <c r="C17" s="838" t="s">
        <v>645</v>
      </c>
      <c r="D17" s="839" t="s">
        <v>367</v>
      </c>
      <c r="E17" s="840">
        <f>'EQUI 66, EQUI 8, EQUI 9'!H8</f>
        <v>1.5157200000000002</v>
      </c>
      <c r="F17" s="841">
        <f>'EQUI 66, EQUI 8, EQUI 9'!J8</f>
        <v>66.388536000000002</v>
      </c>
      <c r="G17" s="842">
        <f>'EQUI 66, EQUI 8, EQUI 9'!I8</f>
        <v>6.6388536000000009</v>
      </c>
      <c r="H17" s="843">
        <f>'EQUI 66, EQUI 8, EQUI 9'!H9</f>
        <v>1.3565693999999999</v>
      </c>
      <c r="I17" s="844">
        <f>'EQUI 66, EQUI 8, EQUI 9'!J9</f>
        <v>59.417739719999993</v>
      </c>
      <c r="J17" s="842">
        <f>'EQUI 66, EQUI 8, EQUI 9'!I9</f>
        <v>5.9417739719999991</v>
      </c>
      <c r="K17" s="843">
        <f>'EQUI 66, EQUI 8, EQUI 9'!H10</f>
        <v>0.77301720000000007</v>
      </c>
      <c r="L17" s="844">
        <f>'EQUI 66, EQUI 8, EQUI 9'!J10</f>
        <v>33.858153360000003</v>
      </c>
      <c r="M17" s="842">
        <f>'EQUI 66, EQUI 8, EQUI 9'!I10</f>
        <v>3.3858153360000003</v>
      </c>
      <c r="N17" s="824" t="s">
        <v>233</v>
      </c>
      <c r="O17" s="825"/>
      <c r="P17" s="826" t="s">
        <v>233</v>
      </c>
      <c r="Q17" s="827" t="s">
        <v>233</v>
      </c>
      <c r="R17" s="825"/>
      <c r="S17" s="828" t="s">
        <v>233</v>
      </c>
      <c r="T17" s="838" t="s">
        <v>624</v>
      </c>
      <c r="U17" s="838" t="s">
        <v>635</v>
      </c>
      <c r="V17" s="838" t="s">
        <v>645</v>
      </c>
      <c r="W17" s="839" t="s">
        <v>367</v>
      </c>
      <c r="X17" s="829" t="s">
        <v>233</v>
      </c>
      <c r="Y17" s="830"/>
      <c r="Z17" s="831" t="s">
        <v>233</v>
      </c>
      <c r="AA17" s="837">
        <f>'EQUI 66, EQUI 8, EQUI 9'!H11</f>
        <v>1.6104525000000001</v>
      </c>
      <c r="AB17" s="830">
        <f>'EQUI 66, EQUI 8, EQUI 9'!J11</f>
        <v>7.0537819500000003</v>
      </c>
      <c r="AC17" s="842">
        <f>'EQUI 66, EQUI 8, EQUI 9'!I11</f>
        <v>7.0537819500000003</v>
      </c>
      <c r="AD17" s="824" t="s">
        <v>233</v>
      </c>
      <c r="AE17" s="825"/>
      <c r="AF17" s="826" t="s">
        <v>233</v>
      </c>
      <c r="AG17" s="824" t="s">
        <v>233</v>
      </c>
      <c r="AH17" s="825"/>
      <c r="AI17" s="826" t="s">
        <v>233</v>
      </c>
      <c r="AJ17" s="827" t="s">
        <v>233</v>
      </c>
      <c r="AK17" s="832"/>
      <c r="AL17" s="828" t="s">
        <v>233</v>
      </c>
    </row>
    <row r="18" spans="1:40" s="815" customFormat="1" x14ac:dyDescent="0.2">
      <c r="A18" s="821" t="s">
        <v>625</v>
      </c>
      <c r="B18" s="821" t="s">
        <v>635</v>
      </c>
      <c r="C18" s="821" t="s">
        <v>645</v>
      </c>
      <c r="D18" s="822" t="s">
        <v>368</v>
      </c>
      <c r="E18" s="823">
        <f>'EQUI 66, EQUI 8, EQUI 9'!H20</f>
        <v>0.42868000000000006</v>
      </c>
      <c r="F18" s="784">
        <f>'EQUI 66, EQUI 8, EQUI 9'!J20</f>
        <v>18.776184000000001</v>
      </c>
      <c r="G18" s="669">
        <f>'EQUI 66, EQUI 8, EQUI 9'!I20</f>
        <v>1.8776184000000002</v>
      </c>
      <c r="H18" s="668">
        <f>'EQUI 66, EQUI 8, EQUI 9'!H21</f>
        <v>0.38366860000000003</v>
      </c>
      <c r="I18" s="135">
        <f>'EQUI 66, EQUI 8, EQUI 9'!J21</f>
        <v>16.804684679999998</v>
      </c>
      <c r="J18" s="669">
        <f>'EQUI 66, EQUI 8, EQUI 9'!I21</f>
        <v>1.6804684680000002</v>
      </c>
      <c r="K18" s="668">
        <f>'EQUI 66, EQUI 8, EQUI 9'!H22</f>
        <v>0.21862680000000001</v>
      </c>
      <c r="L18" s="135">
        <f>'EQUI 66, EQUI 8, EQUI 9'!J22</f>
        <v>9.5758538400000006</v>
      </c>
      <c r="M18" s="669">
        <f>'EQUI 66, EQUI 8, EQUI 9'!I22</f>
        <v>0.95758538400000004</v>
      </c>
      <c r="N18" s="824" t="s">
        <v>233</v>
      </c>
      <c r="O18" s="825"/>
      <c r="P18" s="826" t="s">
        <v>233</v>
      </c>
      <c r="Q18" s="827" t="s">
        <v>233</v>
      </c>
      <c r="R18" s="825"/>
      <c r="S18" s="828" t="s">
        <v>233</v>
      </c>
      <c r="T18" s="821" t="s">
        <v>625</v>
      </c>
      <c r="U18" s="821" t="s">
        <v>635</v>
      </c>
      <c r="V18" s="821" t="s">
        <v>645</v>
      </c>
      <c r="W18" s="822" t="s">
        <v>368</v>
      </c>
      <c r="X18" s="829" t="s">
        <v>233</v>
      </c>
      <c r="Y18" s="830"/>
      <c r="Z18" s="831" t="s">
        <v>233</v>
      </c>
      <c r="AA18" s="837">
        <f>'EQUI 66, EQUI 8, EQUI 9'!H23</f>
        <v>0.45547250000000006</v>
      </c>
      <c r="AB18" s="830">
        <f>'EQUI 66, EQUI 8, EQUI 9'!J23</f>
        <v>1.9949695500000002</v>
      </c>
      <c r="AC18" s="669">
        <f>'EQUI 66, EQUI 8, EQUI 9'!I23</f>
        <v>1.9949695500000002</v>
      </c>
      <c r="AD18" s="824" t="s">
        <v>233</v>
      </c>
      <c r="AE18" s="825"/>
      <c r="AF18" s="826" t="s">
        <v>233</v>
      </c>
      <c r="AG18" s="824" t="s">
        <v>233</v>
      </c>
      <c r="AH18" s="825"/>
      <c r="AI18" s="826" t="s">
        <v>233</v>
      </c>
      <c r="AJ18" s="827" t="s">
        <v>233</v>
      </c>
      <c r="AK18" s="832"/>
      <c r="AL18" s="828" t="s">
        <v>233</v>
      </c>
    </row>
    <row r="19" spans="1:40" s="815" customFormat="1" x14ac:dyDescent="0.2">
      <c r="A19" s="821" t="s">
        <v>626</v>
      </c>
      <c r="B19" s="821" t="s">
        <v>635</v>
      </c>
      <c r="C19" s="821" t="s">
        <v>645</v>
      </c>
      <c r="D19" s="822" t="s">
        <v>369</v>
      </c>
      <c r="E19" s="823">
        <f>'EQUI 66, EQUI 8, EQUI 9'!H32</f>
        <v>0.16515500000000002</v>
      </c>
      <c r="F19" s="784">
        <f>'EQUI 66, EQUI 8, EQUI 9'!J32</f>
        <v>7.2337889999999998</v>
      </c>
      <c r="G19" s="669">
        <f>'EQUI 66, EQUI 8, EQUI 9'!I32</f>
        <v>0.72337890000000005</v>
      </c>
      <c r="H19" s="668">
        <f>'EQUI 66, EQUI 8, EQUI 9'!H33</f>
        <v>0.14038175</v>
      </c>
      <c r="I19" s="135">
        <f>'EQUI 66, EQUI 8, EQUI 9'!J33</f>
        <v>6.1487206499999996</v>
      </c>
      <c r="J19" s="669">
        <f>'EQUI 66, EQUI 8, EQUI 9'!I33</f>
        <v>0.61487206500000002</v>
      </c>
      <c r="K19" s="668">
        <f>'EQUI 66, EQUI 8, EQUI 9'!H34</f>
        <v>4.95465E-2</v>
      </c>
      <c r="L19" s="135">
        <f>'EQUI 66, EQUI 8, EQUI 9'!J34</f>
        <v>2.1701367</v>
      </c>
      <c r="M19" s="669">
        <f>'EQUI 66, EQUI 8, EQUI 9'!I34</f>
        <v>0.21701366999999999</v>
      </c>
      <c r="N19" s="824" t="s">
        <v>233</v>
      </c>
      <c r="O19" s="825"/>
      <c r="P19" s="826" t="s">
        <v>233</v>
      </c>
      <c r="Q19" s="827" t="s">
        <v>233</v>
      </c>
      <c r="R19" s="825"/>
      <c r="S19" s="828" t="s">
        <v>233</v>
      </c>
      <c r="T19" s="821" t="s">
        <v>626</v>
      </c>
      <c r="U19" s="821" t="s">
        <v>635</v>
      </c>
      <c r="V19" s="821" t="s">
        <v>645</v>
      </c>
      <c r="W19" s="822" t="s">
        <v>369</v>
      </c>
      <c r="X19" s="829" t="s">
        <v>233</v>
      </c>
      <c r="Y19" s="830"/>
      <c r="Z19" s="831" t="s">
        <v>233</v>
      </c>
      <c r="AA19" s="837" t="s">
        <v>233</v>
      </c>
      <c r="AB19" s="830"/>
      <c r="AC19" s="831" t="s">
        <v>233</v>
      </c>
      <c r="AD19" s="824" t="s">
        <v>233</v>
      </c>
      <c r="AE19" s="825"/>
      <c r="AF19" s="826" t="s">
        <v>233</v>
      </c>
      <c r="AG19" s="824" t="s">
        <v>233</v>
      </c>
      <c r="AH19" s="825"/>
      <c r="AI19" s="826" t="s">
        <v>233</v>
      </c>
      <c r="AJ19" s="827" t="s">
        <v>233</v>
      </c>
      <c r="AK19" s="832"/>
      <c r="AL19" s="828" t="s">
        <v>233</v>
      </c>
    </row>
    <row r="20" spans="1:40" s="815" customFormat="1" ht="13.5" thickBot="1" x14ac:dyDescent="0.25">
      <c r="A20" s="907" t="s">
        <v>646</v>
      </c>
      <c r="B20" s="931" t="s">
        <v>233</v>
      </c>
      <c r="C20" s="907" t="s">
        <v>647</v>
      </c>
      <c r="D20" s="908" t="s">
        <v>362</v>
      </c>
      <c r="E20" s="909">
        <f>'Combustion (Proposed)'!O184</f>
        <v>3.8498625049105391</v>
      </c>
      <c r="F20" s="910">
        <f>'Combustion (Proposed)'!P184</f>
        <v>16.86239777150816</v>
      </c>
      <c r="G20" s="911">
        <f>'Combustion (Proposed)'!Q184</f>
        <v>16.86239777150816</v>
      </c>
      <c r="H20" s="912">
        <f>'Combustion (Proposed)'!O185</f>
        <v>2.379915003035606</v>
      </c>
      <c r="I20" s="910">
        <f>'Combustion (Proposed)'!P185</f>
        <v>10.424027713295954</v>
      </c>
      <c r="J20" s="911">
        <f>'Combustion (Proposed)'!Q185</f>
        <v>10.424027713295954</v>
      </c>
      <c r="K20" s="912">
        <f>'Combustion (Proposed)'!O186</f>
        <v>1.2774543766294062</v>
      </c>
      <c r="L20" s="910">
        <f>'Combustion (Proposed)'!P186</f>
        <v>5.5952501696367989</v>
      </c>
      <c r="M20" s="911">
        <f>'Combustion (Proposed)'!Q186</f>
        <v>5.5952501696367989</v>
      </c>
      <c r="N20" s="913">
        <f>'Combustion (Proposed)'!O187</f>
        <v>12.250000000000002</v>
      </c>
      <c r="O20" s="914">
        <f>'Combustion (Proposed)'!P187</f>
        <v>53.655000000000008</v>
      </c>
      <c r="P20" s="788">
        <f>'Combustion (Proposed)'!Q187</f>
        <v>53.655000000000008</v>
      </c>
      <c r="Q20" s="914">
        <f>'Combustion (Proposed)'!O188</f>
        <v>10.044519263463686</v>
      </c>
      <c r="R20" s="914">
        <f>'Combustion (Proposed)'!P188</f>
        <v>76.650584691854505</v>
      </c>
      <c r="S20" s="915">
        <f>'Combustion (Proposed)'!Q188</f>
        <v>43.99499437397094</v>
      </c>
      <c r="T20" s="907" t="s">
        <v>646</v>
      </c>
      <c r="U20" s="931" t="s">
        <v>233</v>
      </c>
      <c r="V20" s="907" t="s">
        <v>647</v>
      </c>
      <c r="W20" s="908" t="s">
        <v>362</v>
      </c>
      <c r="X20" s="916">
        <f>'Combustion (Proposed)'!O190</f>
        <v>8.0705882352941174</v>
      </c>
      <c r="Y20" s="917">
        <f>'Combustion (Proposed)'!P190</f>
        <v>35.349176470588233</v>
      </c>
      <c r="Z20" s="918">
        <f>'Combustion (Proposed)'!Q190</f>
        <v>35.349176470588233</v>
      </c>
      <c r="AA20" s="919">
        <f>'Combustion (Proposed)'!O189</f>
        <v>0.85683060109289633</v>
      </c>
      <c r="AB20" s="920">
        <f>'Combustion (Proposed)'!P189</f>
        <v>3.7529180327868858</v>
      </c>
      <c r="AC20" s="921">
        <f>'Combustion (Proposed)'!Q189</f>
        <v>3.7529180327868858</v>
      </c>
      <c r="AD20" s="786">
        <f>'Combustion (Proposed)'!O197</f>
        <v>17719.331000000002</v>
      </c>
      <c r="AE20" s="787">
        <f>'Combustion (Proposed)'!P197</f>
        <v>77610.669779999997</v>
      </c>
      <c r="AF20" s="789">
        <f>'Combustion (Proposed)'!Q197</f>
        <v>77610.669779999997</v>
      </c>
      <c r="AG20" s="922">
        <f>'Combustion (Proposed)'!O162</f>
        <v>0.17294117647058824</v>
      </c>
      <c r="AH20" s="923">
        <f>'Combustion (Proposed)'!P162</f>
        <v>0.7574823529411765</v>
      </c>
      <c r="AI20" s="924">
        <f>'Combustion (Proposed)'!Q162</f>
        <v>0.7574823529411765</v>
      </c>
      <c r="AJ20" s="914">
        <f>'Combustion (Proposed)'!O182</f>
        <v>0.18150724117647055</v>
      </c>
      <c r="AK20" s="914">
        <f>'Combustion (Proposed)'!P182</f>
        <v>0.79500171635294103</v>
      </c>
      <c r="AL20" s="915">
        <f>'Combustion (Proposed)'!Q182</f>
        <v>0.79500171635294103</v>
      </c>
      <c r="AN20" s="350"/>
    </row>
    <row r="21" spans="1:40" s="809" customFormat="1" ht="14.25" thickTop="1" thickBot="1" x14ac:dyDescent="0.25">
      <c r="A21" s="941" t="s">
        <v>249</v>
      </c>
      <c r="B21" s="942"/>
      <c r="C21" s="942"/>
      <c r="D21" s="895"/>
      <c r="E21" s="849">
        <f t="shared" ref="E21:S21" si="0">SUM(E7:E20)</f>
        <v>11.399684001117606</v>
      </c>
      <c r="F21" s="905">
        <f t="shared" si="0"/>
        <v>390.59225017195394</v>
      </c>
      <c r="G21" s="896">
        <f t="shared" si="0"/>
        <v>49.930615924895122</v>
      </c>
      <c r="H21" s="853">
        <f t="shared" si="0"/>
        <v>9.0478786478965034</v>
      </c>
      <c r="I21" s="905">
        <f t="shared" si="0"/>
        <v>329.08169202278663</v>
      </c>
      <c r="J21" s="896">
        <f t="shared" si="0"/>
        <v>39.629708477786686</v>
      </c>
      <c r="K21" s="853">
        <f t="shared" si="0"/>
        <v>5.4897890998924419</v>
      </c>
      <c r="L21" s="905">
        <f t="shared" si="0"/>
        <v>221.46460956164651</v>
      </c>
      <c r="M21" s="896">
        <f t="shared" si="0"/>
        <v>24.045276257528894</v>
      </c>
      <c r="N21" s="853">
        <f t="shared" si="0"/>
        <v>14.701062372772402</v>
      </c>
      <c r="O21" s="905">
        <f t="shared" si="0"/>
        <v>64.39065319274313</v>
      </c>
      <c r="P21" s="896">
        <f t="shared" si="0"/>
        <v>64.39065319274313</v>
      </c>
      <c r="Q21" s="853">
        <f t="shared" si="0"/>
        <v>13.898089129445093</v>
      </c>
      <c r="R21" s="905">
        <f t="shared" si="0"/>
        <v>93.529220704853074</v>
      </c>
      <c r="S21" s="853">
        <f t="shared" si="0"/>
        <v>60.873630386969509</v>
      </c>
      <c r="T21" s="941" t="s">
        <v>249</v>
      </c>
      <c r="U21" s="942"/>
      <c r="V21" s="942"/>
      <c r="W21" s="895"/>
      <c r="X21" s="849">
        <f t="shared" ref="X21:AL21" si="1">SUM(X7:X20)</f>
        <v>9.9301176470588235</v>
      </c>
      <c r="Y21" s="905">
        <f t="shared" si="1"/>
        <v>43.493915294117642</v>
      </c>
      <c r="Z21" s="896">
        <f t="shared" si="1"/>
        <v>43.493915294117642</v>
      </c>
      <c r="AA21" s="853">
        <f t="shared" si="1"/>
        <v>5.6189154371584706</v>
      </c>
      <c r="AB21" s="905">
        <f t="shared" si="1"/>
        <v>24.610849614754102</v>
      </c>
      <c r="AC21" s="853">
        <f t="shared" si="1"/>
        <v>24.610849614754102</v>
      </c>
      <c r="AD21" s="855">
        <f t="shared" si="1"/>
        <v>21697.175609514306</v>
      </c>
      <c r="AE21" s="856">
        <f t="shared" si="1"/>
        <v>95033.62916967264</v>
      </c>
      <c r="AF21" s="897">
        <f t="shared" si="1"/>
        <v>95033.62916967264</v>
      </c>
      <c r="AG21" s="861">
        <f t="shared" si="1"/>
        <v>0.21278823529411764</v>
      </c>
      <c r="AH21" s="906">
        <f t="shared" si="1"/>
        <v>0.93201247058823533</v>
      </c>
      <c r="AI21" s="898">
        <f t="shared" si="1"/>
        <v>0.93201247058823533</v>
      </c>
      <c r="AJ21" s="861">
        <f t="shared" si="1"/>
        <v>0.22332799123529407</v>
      </c>
      <c r="AK21" s="906">
        <f t="shared" si="1"/>
        <v>0.97817660161058806</v>
      </c>
      <c r="AL21" s="899">
        <f t="shared" si="1"/>
        <v>0.97817660161058806</v>
      </c>
      <c r="AN21" s="350"/>
    </row>
    <row r="22" spans="1:40" ht="13.5" thickTop="1" x14ac:dyDescent="0.2">
      <c r="A22" s="651" t="s">
        <v>585</v>
      </c>
      <c r="B22" s="143"/>
      <c r="C22" s="143"/>
      <c r="D22" s="143"/>
      <c r="T22" s="651" t="s">
        <v>585</v>
      </c>
      <c r="U22" s="143"/>
      <c r="V22" s="143"/>
      <c r="W22" s="143"/>
    </row>
    <row r="23" spans="1:40" ht="14.25" customHeight="1" x14ac:dyDescent="0.2">
      <c r="A23" t="s">
        <v>562</v>
      </c>
      <c r="B23" s="649"/>
      <c r="C23" s="649"/>
      <c r="D23" s="649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50"/>
      <c r="S23" s="650"/>
      <c r="T23" t="s">
        <v>562</v>
      </c>
      <c r="U23" s="650"/>
      <c r="V23" s="650"/>
      <c r="W23" s="650"/>
      <c r="X23" s="650"/>
      <c r="Y23" s="650"/>
      <c r="Z23" s="650"/>
      <c r="AA23" s="650"/>
      <c r="AB23" s="650"/>
      <c r="AC23" s="650"/>
      <c r="AD23" s="650"/>
      <c r="AE23" s="650"/>
      <c r="AF23" s="650"/>
      <c r="AG23" s="650"/>
      <c r="AH23" s="650"/>
      <c r="AI23" s="650"/>
      <c r="AJ23" s="650"/>
      <c r="AK23" s="650"/>
      <c r="AL23" s="650"/>
    </row>
    <row r="24" spans="1:40" x14ac:dyDescent="0.2"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</row>
    <row r="25" spans="1:40" x14ac:dyDescent="0.2"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</row>
    <row r="26" spans="1:40" x14ac:dyDescent="0.2">
      <c r="G26" s="2"/>
      <c r="J26" s="2"/>
      <c r="K26" s="2"/>
      <c r="L26" s="2"/>
      <c r="M26" s="2"/>
    </row>
    <row r="27" spans="1:40" x14ac:dyDescent="0.2">
      <c r="K27" s="2"/>
      <c r="L27" s="2"/>
    </row>
    <row r="28" spans="1:40" x14ac:dyDescent="0.2">
      <c r="G28" s="2"/>
      <c r="J28" s="2"/>
      <c r="M28" s="2"/>
      <c r="N28" s="2"/>
      <c r="O28" s="2"/>
      <c r="P28" s="2"/>
      <c r="Q28" s="2"/>
      <c r="R28" s="2"/>
      <c r="S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167" spans="11:19" x14ac:dyDescent="0.2">
      <c r="K167" s="164"/>
      <c r="L167" s="164"/>
      <c r="M167" s="164"/>
      <c r="N167" s="164"/>
      <c r="O167" s="164"/>
      <c r="P167" s="164"/>
      <c r="Q167" s="164"/>
      <c r="R167" s="164"/>
      <c r="S167" s="164"/>
    </row>
    <row r="168" spans="11:19" x14ac:dyDescent="0.2">
      <c r="K168" s="164"/>
      <c r="L168" s="164"/>
      <c r="M168" s="164"/>
      <c r="N168" s="164"/>
      <c r="O168" s="164"/>
      <c r="P168" s="164"/>
      <c r="Q168" s="164"/>
      <c r="R168" s="164"/>
      <c r="S168" s="164"/>
    </row>
    <row r="169" spans="11:19" x14ac:dyDescent="0.2">
      <c r="K169" s="164"/>
      <c r="L169" s="164"/>
      <c r="M169" s="164"/>
      <c r="N169" s="164"/>
      <c r="O169" s="164"/>
      <c r="P169" s="164"/>
      <c r="Q169" s="164"/>
      <c r="R169" s="164"/>
      <c r="S169" s="164"/>
    </row>
    <row r="170" spans="11:19" x14ac:dyDescent="0.2">
      <c r="K170" s="164"/>
      <c r="L170" s="164"/>
      <c r="M170" s="164"/>
      <c r="N170" s="164"/>
      <c r="O170" s="164"/>
      <c r="P170" s="164"/>
      <c r="Q170" s="164"/>
      <c r="R170" s="164"/>
      <c r="S170" s="164"/>
    </row>
    <row r="171" spans="11:19" x14ac:dyDescent="0.2">
      <c r="K171" s="164"/>
      <c r="L171" s="164"/>
      <c r="M171" s="164"/>
      <c r="N171" s="164"/>
      <c r="O171" s="164"/>
      <c r="P171" s="164"/>
      <c r="Q171" s="164"/>
      <c r="R171" s="164"/>
      <c r="S171" s="164"/>
    </row>
    <row r="172" spans="11:19" x14ac:dyDescent="0.2">
      <c r="K172" s="164"/>
      <c r="L172" s="164"/>
      <c r="M172" s="164"/>
      <c r="N172" s="164"/>
      <c r="O172" s="164"/>
      <c r="P172" s="164"/>
      <c r="Q172" s="164"/>
      <c r="R172" s="164"/>
      <c r="S172" s="164"/>
    </row>
    <row r="173" spans="11:19" x14ac:dyDescent="0.2">
      <c r="K173" s="164"/>
      <c r="L173" s="164"/>
      <c r="M173" s="164"/>
      <c r="N173" s="164"/>
      <c r="O173" s="164"/>
      <c r="P173" s="164"/>
      <c r="Q173" s="164"/>
      <c r="R173" s="164"/>
      <c r="S173" s="164"/>
    </row>
    <row r="174" spans="11:19" x14ac:dyDescent="0.2">
      <c r="K174" s="164"/>
      <c r="L174" s="164"/>
      <c r="M174" s="164"/>
      <c r="N174" s="164"/>
      <c r="O174" s="164"/>
      <c r="P174" s="164"/>
      <c r="Q174" s="164"/>
      <c r="R174" s="164"/>
      <c r="S174" s="164"/>
    </row>
    <row r="175" spans="11:19" x14ac:dyDescent="0.2">
      <c r="K175" s="164"/>
      <c r="L175" s="164"/>
      <c r="M175" s="164"/>
      <c r="N175" s="164"/>
      <c r="O175" s="164"/>
      <c r="P175" s="164"/>
      <c r="Q175" s="164"/>
      <c r="R175" s="164"/>
      <c r="S175" s="164"/>
    </row>
    <row r="176" spans="11:19" x14ac:dyDescent="0.2">
      <c r="K176" s="164"/>
      <c r="L176" s="164"/>
      <c r="M176" s="164"/>
      <c r="N176" s="164"/>
      <c r="O176" s="164"/>
      <c r="P176" s="164"/>
      <c r="Q176" s="164"/>
      <c r="R176" s="164"/>
      <c r="S176" s="164"/>
    </row>
    <row r="177" spans="11:19" x14ac:dyDescent="0.2">
      <c r="K177" s="164"/>
      <c r="L177" s="164"/>
      <c r="M177" s="164"/>
      <c r="N177" s="164"/>
      <c r="O177" s="164"/>
      <c r="P177" s="164"/>
      <c r="Q177" s="164"/>
      <c r="R177" s="164"/>
      <c r="S177" s="164"/>
    </row>
    <row r="178" spans="11:19" x14ac:dyDescent="0.2">
      <c r="K178" s="164"/>
      <c r="L178" s="164"/>
      <c r="M178" s="164"/>
      <c r="N178" s="164"/>
      <c r="O178" s="164"/>
      <c r="P178" s="164"/>
      <c r="Q178" s="164"/>
      <c r="R178" s="164"/>
      <c r="S178" s="164"/>
    </row>
    <row r="179" spans="11:19" x14ac:dyDescent="0.2">
      <c r="K179" s="164"/>
      <c r="L179" s="164"/>
      <c r="M179" s="164"/>
      <c r="N179" s="164"/>
      <c r="O179" s="164"/>
      <c r="P179" s="164"/>
      <c r="Q179" s="164"/>
      <c r="R179" s="164"/>
      <c r="S179" s="164"/>
    </row>
    <row r="180" spans="11:19" x14ac:dyDescent="0.2">
      <c r="K180" s="164"/>
      <c r="L180" s="164"/>
      <c r="M180" s="164"/>
      <c r="N180" s="164"/>
      <c r="O180" s="164"/>
      <c r="P180" s="164"/>
      <c r="Q180" s="164"/>
      <c r="R180" s="164"/>
      <c r="S180" s="164"/>
    </row>
    <row r="181" spans="11:19" x14ac:dyDescent="0.2">
      <c r="K181" s="164"/>
      <c r="L181" s="164"/>
      <c r="M181" s="164"/>
      <c r="N181" s="164"/>
      <c r="O181" s="164"/>
      <c r="P181" s="164"/>
      <c r="Q181" s="164"/>
      <c r="R181" s="164"/>
      <c r="S181" s="164"/>
    </row>
    <row r="182" spans="11:19" x14ac:dyDescent="0.2">
      <c r="K182" s="164"/>
      <c r="L182" s="164"/>
      <c r="M182" s="164"/>
      <c r="N182" s="164"/>
      <c r="O182" s="164"/>
      <c r="P182" s="164"/>
      <c r="Q182" s="164"/>
      <c r="R182" s="164"/>
      <c r="S182" s="164"/>
    </row>
    <row r="183" spans="11:19" x14ac:dyDescent="0.2">
      <c r="K183" s="164"/>
      <c r="L183" s="164"/>
      <c r="M183" s="164"/>
      <c r="N183" s="164"/>
      <c r="O183" s="164"/>
      <c r="P183" s="164"/>
      <c r="Q183" s="164"/>
      <c r="R183" s="164"/>
      <c r="S183" s="164"/>
    </row>
    <row r="184" spans="11:19" x14ac:dyDescent="0.2">
      <c r="K184" s="164"/>
      <c r="L184" s="164"/>
      <c r="M184" s="164"/>
      <c r="N184" s="164"/>
      <c r="O184" s="164"/>
      <c r="P184" s="164"/>
      <c r="Q184" s="164"/>
      <c r="R184" s="164"/>
      <c r="S184" s="164"/>
    </row>
    <row r="185" spans="11:19" x14ac:dyDescent="0.2">
      <c r="K185" s="164"/>
      <c r="L185" s="164"/>
      <c r="M185" s="164"/>
      <c r="N185" s="164"/>
      <c r="O185" s="164"/>
      <c r="P185" s="164"/>
      <c r="Q185" s="164"/>
      <c r="R185" s="164"/>
      <c r="S185" s="164"/>
    </row>
  </sheetData>
  <mergeCells count="18">
    <mergeCell ref="AJ5:AL5"/>
    <mergeCell ref="X5:Z5"/>
    <mergeCell ref="A21:C21"/>
    <mergeCell ref="T21:V21"/>
    <mergeCell ref="E5:G5"/>
    <mergeCell ref="H5:J5"/>
    <mergeCell ref="K5:M5"/>
    <mergeCell ref="N5:P5"/>
    <mergeCell ref="Q5:S5"/>
    <mergeCell ref="AA5:AC5"/>
    <mergeCell ref="AD5:AF5"/>
    <mergeCell ref="AG5:AI5"/>
    <mergeCell ref="A1:S1"/>
    <mergeCell ref="A2:S2"/>
    <mergeCell ref="T1:AL1"/>
    <mergeCell ref="T2:AL2"/>
    <mergeCell ref="E4:S4"/>
    <mergeCell ref="X4:AL4"/>
  </mergeCells>
  <printOptions horizontalCentered="1"/>
  <pageMargins left="0.75" right="0.75" top="1" bottom="1" header="0.5" footer="0.5"/>
  <pageSetup scale="72" fitToWidth="2" pageOrder="overThenDown" orientation="landscape" r:id="rId1"/>
  <headerFooter alignWithMargins="0"/>
  <colBreaks count="1" manualBreakCount="1">
    <brk id="19" max="3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X214"/>
  <sheetViews>
    <sheetView view="pageBreakPreview" zoomScale="80" zoomScaleNormal="100" zoomScaleSheetLayoutView="80" workbookViewId="0">
      <selection activeCell="J12" sqref="J12"/>
    </sheetView>
  </sheetViews>
  <sheetFormatPr defaultRowHeight="12.75" x14ac:dyDescent="0.2"/>
  <cols>
    <col min="1" max="1" width="11.42578125" customWidth="1"/>
    <col min="2" max="2" width="29.85546875" customWidth="1"/>
    <col min="3" max="3" width="11.28515625" customWidth="1"/>
    <col min="4" max="4" width="12.7109375" bestFit="1" customWidth="1"/>
    <col min="5" max="5" width="12.42578125" customWidth="1"/>
    <col min="6" max="6" width="12.28515625" customWidth="1"/>
    <col min="7" max="7" width="12.7109375" bestFit="1" customWidth="1"/>
    <col min="8" max="8" width="13.5703125" bestFit="1" customWidth="1"/>
    <col min="9" max="9" width="10.5703125" bestFit="1" customWidth="1"/>
    <col min="10" max="10" width="11.7109375" bestFit="1" customWidth="1"/>
    <col min="11" max="11" width="11.85546875" customWidth="1"/>
    <col min="12" max="12" width="13.140625" customWidth="1"/>
    <col min="13" max="13" width="12.140625" customWidth="1"/>
    <col min="14" max="14" width="12.42578125" bestFit="1" customWidth="1"/>
    <col min="15" max="15" width="12.28515625" customWidth="1"/>
    <col min="16" max="17" width="13" customWidth="1"/>
    <col min="18" max="18" width="13.85546875" customWidth="1"/>
  </cols>
  <sheetData>
    <row r="1" spans="1:18" s="119" customFormat="1" ht="18" x14ac:dyDescent="0.25">
      <c r="A1" s="953" t="s">
        <v>11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</row>
    <row r="2" spans="1:18" s="119" customFormat="1" ht="15.75" x14ac:dyDescent="0.25">
      <c r="A2" s="949" t="s">
        <v>648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</row>
    <row r="3" spans="1:18" s="119" customFormat="1" ht="15.75" x14ac:dyDescent="0.25">
      <c r="A3" s="949" t="s">
        <v>236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  <c r="M3" s="949"/>
    </row>
    <row r="4" spans="1:18" s="124" customFormat="1" x14ac:dyDescent="0.2">
      <c r="A4" s="147" t="s">
        <v>90</v>
      </c>
      <c r="I4" s="125" t="s">
        <v>161</v>
      </c>
    </row>
    <row r="5" spans="1:18" s="124" customFormat="1" x14ac:dyDescent="0.2">
      <c r="A5" s="929" t="s">
        <v>611</v>
      </c>
      <c r="I5" s="125"/>
    </row>
    <row r="6" spans="1:18" s="124" customFormat="1" x14ac:dyDescent="0.2">
      <c r="A6" s="119" t="s">
        <v>91</v>
      </c>
      <c r="B6" s="119">
        <v>5</v>
      </c>
      <c r="C6" s="119" t="s">
        <v>52</v>
      </c>
      <c r="D6" s="119"/>
      <c r="E6" s="165" t="s">
        <v>305</v>
      </c>
      <c r="F6" s="119"/>
      <c r="G6" s="119"/>
      <c r="H6" s="425">
        <v>1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</row>
    <row r="7" spans="1:18" s="124" customFormat="1" x14ac:dyDescent="0.2">
      <c r="A7" s="119" t="s">
        <v>96</v>
      </c>
      <c r="B7" s="354">
        <f>B6/H7/1000</f>
        <v>3.5713010249633949E-2</v>
      </c>
      <c r="C7" s="119" t="s">
        <v>93</v>
      </c>
      <c r="D7" s="119"/>
      <c r="E7" s="119" t="s">
        <v>97</v>
      </c>
      <c r="F7" s="119"/>
      <c r="G7" s="119"/>
      <c r="H7" s="119">
        <f>140005/1000000</f>
        <v>0.14000499999999999</v>
      </c>
      <c r="I7" s="119" t="s">
        <v>95</v>
      </c>
      <c r="J7" s="119"/>
      <c r="K7" s="119" t="s">
        <v>226</v>
      </c>
      <c r="L7" s="149">
        <f>500/1000000*100</f>
        <v>0.05</v>
      </c>
      <c r="M7" s="119" t="s">
        <v>225</v>
      </c>
      <c r="N7" s="119"/>
      <c r="O7" s="119"/>
      <c r="P7" s="119"/>
      <c r="Q7" s="119"/>
      <c r="R7" s="119"/>
    </row>
    <row r="8" spans="1:18" s="124" customFormat="1" x14ac:dyDescent="0.2">
      <c r="A8" s="119" t="s">
        <v>98</v>
      </c>
      <c r="B8" s="354">
        <f>B6/H8</f>
        <v>4.9019607843137254E-3</v>
      </c>
      <c r="C8" s="119" t="s">
        <v>99</v>
      </c>
      <c r="D8" s="119"/>
      <c r="E8" s="119" t="s">
        <v>100</v>
      </c>
      <c r="F8" s="119"/>
      <c r="G8" s="119"/>
      <c r="H8" s="119">
        <v>1020</v>
      </c>
      <c r="I8" s="165" t="s">
        <v>53</v>
      </c>
      <c r="J8" s="119"/>
      <c r="K8" s="119"/>
      <c r="L8" s="119"/>
      <c r="M8" s="119"/>
      <c r="N8" s="119"/>
      <c r="O8" s="119"/>
      <c r="P8" s="119"/>
      <c r="Q8" s="119"/>
      <c r="R8" s="119"/>
    </row>
    <row r="9" spans="1:18" s="124" customFormat="1" ht="13.5" thickBot="1" x14ac:dyDescent="0.25">
      <c r="A9" s="323" t="s">
        <v>253</v>
      </c>
      <c r="B9" s="354">
        <f>B6/H9/1000</f>
        <v>5.4644808743169397E-2</v>
      </c>
      <c r="C9" s="323" t="s">
        <v>93</v>
      </c>
      <c r="D9" s="119"/>
      <c r="E9" s="323" t="s">
        <v>254</v>
      </c>
      <c r="F9" s="119"/>
      <c r="G9" s="119"/>
      <c r="H9" s="119">
        <f>91.5/1000</f>
        <v>9.1499999999999998E-2</v>
      </c>
      <c r="I9" s="323" t="s">
        <v>95</v>
      </c>
      <c r="J9" s="119"/>
      <c r="K9" s="165" t="s">
        <v>257</v>
      </c>
      <c r="L9" s="119">
        <v>15</v>
      </c>
      <c r="M9" s="165" t="s">
        <v>259</v>
      </c>
      <c r="N9" s="119"/>
      <c r="O9" s="119"/>
      <c r="P9" s="119"/>
      <c r="Q9" s="119"/>
      <c r="R9" s="119"/>
    </row>
    <row r="10" spans="1:18" s="124" customFormat="1" ht="13.5" hidden="1" thickBot="1" x14ac:dyDescent="0.25">
      <c r="A10" s="122" t="s">
        <v>218</v>
      </c>
      <c r="B10" s="355"/>
      <c r="C10" s="122" t="s">
        <v>93</v>
      </c>
      <c r="D10" s="122"/>
      <c r="E10" s="122" t="s">
        <v>219</v>
      </c>
      <c r="F10" s="122"/>
      <c r="G10" s="122"/>
      <c r="H10" s="332">
        <f>127333/1000000</f>
        <v>0.127333</v>
      </c>
      <c r="I10" s="122" t="s">
        <v>95</v>
      </c>
      <c r="J10" s="122"/>
      <c r="K10" s="122" t="s">
        <v>230</v>
      </c>
      <c r="L10" s="333">
        <v>0.1</v>
      </c>
      <c r="M10" s="122" t="s">
        <v>225</v>
      </c>
      <c r="N10" s="122"/>
      <c r="O10" s="119"/>
      <c r="P10" s="119"/>
      <c r="Q10" s="119"/>
      <c r="R10" s="119"/>
    </row>
    <row r="11" spans="1:18" s="163" customFormat="1" ht="63.75" x14ac:dyDescent="0.2">
      <c r="A11" s="336" t="s">
        <v>102</v>
      </c>
      <c r="B11" s="686" t="s">
        <v>10</v>
      </c>
      <c r="C11" s="336" t="s">
        <v>103</v>
      </c>
      <c r="D11" s="337" t="s">
        <v>104</v>
      </c>
      <c r="E11" s="338" t="s">
        <v>258</v>
      </c>
      <c r="F11" s="691" t="s">
        <v>106</v>
      </c>
      <c r="G11" s="337" t="s">
        <v>107</v>
      </c>
      <c r="H11" s="686" t="s">
        <v>252</v>
      </c>
      <c r="I11" s="336" t="s">
        <v>306</v>
      </c>
      <c r="J11" s="337" t="s">
        <v>307</v>
      </c>
      <c r="K11" s="338" t="s">
        <v>308</v>
      </c>
      <c r="L11" s="691" t="s">
        <v>109</v>
      </c>
      <c r="M11" s="337" t="s">
        <v>110</v>
      </c>
      <c r="N11" s="338" t="s">
        <v>111</v>
      </c>
    </row>
    <row r="12" spans="1:18" s="124" customFormat="1" x14ac:dyDescent="0.2">
      <c r="A12" s="950" t="s">
        <v>649</v>
      </c>
      <c r="B12" s="687" t="s">
        <v>113</v>
      </c>
      <c r="C12" s="697">
        <v>1.7999999999999999E-6</v>
      </c>
      <c r="D12" s="117">
        <v>2.1100000000000001E-5</v>
      </c>
      <c r="E12" s="698">
        <f t="shared" ref="E12:E24" si="0">C12/$H$8*$H$9*1000</f>
        <v>1.614705882352941E-7</v>
      </c>
      <c r="F12" s="692">
        <f t="shared" ref="F12:F24" si="1">C12*$B$8</f>
        <v>8.823529411764706E-9</v>
      </c>
      <c r="G12" s="117">
        <f>D12*$B$7</f>
        <v>7.5354451626727636E-7</v>
      </c>
      <c r="H12" s="704">
        <f t="shared" ref="H12:H24" si="2">E12*$B$9</f>
        <v>8.8235294117647043E-9</v>
      </c>
      <c r="I12" s="697">
        <f t="shared" ref="I12:I24" si="3">F12*8760/2000</f>
        <v>3.8647058823529411E-8</v>
      </c>
      <c r="J12" s="117">
        <f>G12*8760/2000*H$6</f>
        <v>3.3005249812506704E-6</v>
      </c>
      <c r="K12" s="698">
        <f t="shared" ref="K12:K24" si="4">H12*8760/2000</f>
        <v>3.8647058823529405E-8</v>
      </c>
      <c r="L12" s="709">
        <f t="shared" ref="L12:L43" si="5">MAX(F12:H12)</f>
        <v>7.5354451626727636E-7</v>
      </c>
      <c r="M12" s="158">
        <f>L12*8760/2000</f>
        <v>3.3005249812506704E-6</v>
      </c>
      <c r="N12" s="339">
        <f t="shared" ref="N12:N43" si="6">MAX(I12:K12)</f>
        <v>3.3005249812506704E-6</v>
      </c>
      <c r="O12" s="119"/>
    </row>
    <row r="13" spans="1:18" s="124" customFormat="1" x14ac:dyDescent="0.2">
      <c r="A13" s="951"/>
      <c r="B13" s="687" t="s">
        <v>114</v>
      </c>
      <c r="C13" s="697">
        <v>1.7999999999999999E-6</v>
      </c>
      <c r="D13" s="117">
        <v>2.53E-7</v>
      </c>
      <c r="E13" s="698">
        <f t="shared" si="0"/>
        <v>1.614705882352941E-7</v>
      </c>
      <c r="F13" s="692">
        <f t="shared" si="1"/>
        <v>8.823529411764706E-9</v>
      </c>
      <c r="G13" s="117">
        <f>D13*$B$7</f>
        <v>9.0353915931573885E-9</v>
      </c>
      <c r="H13" s="704">
        <f t="shared" si="2"/>
        <v>8.8235294117647043E-9</v>
      </c>
      <c r="I13" s="697">
        <f t="shared" si="3"/>
        <v>3.8647058823529411E-8</v>
      </c>
      <c r="J13" s="117">
        <f>G13*8760/2000*H$6</f>
        <v>3.9575015178029355E-8</v>
      </c>
      <c r="K13" s="698">
        <f t="shared" si="4"/>
        <v>3.8647058823529405E-8</v>
      </c>
      <c r="L13" s="709">
        <f t="shared" si="5"/>
        <v>9.0353915931573885E-9</v>
      </c>
      <c r="M13" s="158">
        <f t="shared" ref="M13:M30" si="7">L13*8760/2000</f>
        <v>3.9575015178029355E-8</v>
      </c>
      <c r="N13" s="339">
        <f t="shared" si="6"/>
        <v>3.9575015178029355E-8</v>
      </c>
      <c r="O13" s="119"/>
    </row>
    <row r="14" spans="1:18" s="124" customFormat="1" x14ac:dyDescent="0.2">
      <c r="A14" s="951"/>
      <c r="B14" s="687" t="s">
        <v>115</v>
      </c>
      <c r="C14" s="697">
        <v>2.3999999999999999E-6</v>
      </c>
      <c r="D14" s="117">
        <v>1.22E-6</v>
      </c>
      <c r="E14" s="698">
        <f t="shared" si="0"/>
        <v>2.1529411764705881E-7</v>
      </c>
      <c r="F14" s="692">
        <f t="shared" si="1"/>
        <v>1.1764705882352941E-8</v>
      </c>
      <c r="G14" s="117">
        <f>D14*$B$7</f>
        <v>4.3569872504553417E-8</v>
      </c>
      <c r="H14" s="704">
        <f t="shared" si="2"/>
        <v>1.1764705882352941E-8</v>
      </c>
      <c r="I14" s="697">
        <f t="shared" si="3"/>
        <v>5.1529411764705884E-8</v>
      </c>
      <c r="J14" s="117">
        <f>G14*8760/2000*H$6</f>
        <v>1.9083604156994398E-7</v>
      </c>
      <c r="K14" s="698">
        <f t="shared" si="4"/>
        <v>5.1529411764705884E-8</v>
      </c>
      <c r="L14" s="709">
        <f t="shared" si="5"/>
        <v>4.3569872504553417E-8</v>
      </c>
      <c r="M14" s="158">
        <f t="shared" si="7"/>
        <v>1.9083604156994398E-7</v>
      </c>
      <c r="N14" s="339">
        <f t="shared" si="6"/>
        <v>1.9083604156994398E-7</v>
      </c>
      <c r="O14" s="119"/>
    </row>
    <row r="15" spans="1:18" s="124" customFormat="1" x14ac:dyDescent="0.2">
      <c r="A15" s="951"/>
      <c r="B15" s="687" t="s">
        <v>116</v>
      </c>
      <c r="C15" s="697">
        <v>1.7999999999999999E-6</v>
      </c>
      <c r="D15" s="117">
        <v>4.0099999999999997E-6</v>
      </c>
      <c r="E15" s="698">
        <f t="shared" si="0"/>
        <v>1.614705882352941E-7</v>
      </c>
      <c r="F15" s="692">
        <f t="shared" si="1"/>
        <v>8.823529411764706E-9</v>
      </c>
      <c r="G15" s="117">
        <f>D15*$B$7</f>
        <v>1.4320917110103211E-7</v>
      </c>
      <c r="H15" s="704">
        <f t="shared" si="2"/>
        <v>8.8235294117647043E-9</v>
      </c>
      <c r="I15" s="697">
        <f t="shared" si="3"/>
        <v>3.8647058823529411E-8</v>
      </c>
      <c r="J15" s="117">
        <f>G15*8760/2000*H$6</f>
        <v>6.2725616942252073E-7</v>
      </c>
      <c r="K15" s="698">
        <f t="shared" si="4"/>
        <v>3.8647058823529405E-8</v>
      </c>
      <c r="L15" s="709">
        <f t="shared" si="5"/>
        <v>1.4320917110103211E-7</v>
      </c>
      <c r="M15" s="158">
        <f t="shared" si="7"/>
        <v>6.2725616942252073E-7</v>
      </c>
      <c r="N15" s="339">
        <f t="shared" si="6"/>
        <v>6.2725616942252073E-7</v>
      </c>
      <c r="O15" s="122"/>
    </row>
    <row r="16" spans="1:18" s="124" customFormat="1" x14ac:dyDescent="0.2">
      <c r="A16" s="951"/>
      <c r="B16" s="687" t="s">
        <v>117</v>
      </c>
      <c r="C16" s="697">
        <v>2.0999999999999999E-3</v>
      </c>
      <c r="D16" s="117">
        <v>2.14E-4</v>
      </c>
      <c r="E16" s="698">
        <f t="shared" si="0"/>
        <v>1.8838235294117646E-4</v>
      </c>
      <c r="F16" s="692">
        <f t="shared" si="1"/>
        <v>1.0294117647058823E-5</v>
      </c>
      <c r="G16" s="117">
        <f>D16*$B$7</f>
        <v>7.6425841934216658E-6</v>
      </c>
      <c r="H16" s="704">
        <f t="shared" si="2"/>
        <v>1.0294117647058823E-5</v>
      </c>
      <c r="I16" s="697">
        <f t="shared" si="3"/>
        <v>4.5088235294117644E-5</v>
      </c>
      <c r="J16" s="117">
        <f>G16*8760/2000*H$6</f>
        <v>3.3474518767186901E-5</v>
      </c>
      <c r="K16" s="698">
        <f t="shared" si="4"/>
        <v>4.5088235294117644E-5</v>
      </c>
      <c r="L16" s="709">
        <f t="shared" si="5"/>
        <v>1.0294117647058823E-5</v>
      </c>
      <c r="M16" s="158">
        <f t="shared" si="7"/>
        <v>4.5088235294117644E-5</v>
      </c>
      <c r="N16" s="339">
        <f t="shared" si="6"/>
        <v>4.5088235294117644E-5</v>
      </c>
      <c r="O16" s="122"/>
    </row>
    <row r="17" spans="1:15" s="124" customFormat="1" x14ac:dyDescent="0.2">
      <c r="A17" s="951"/>
      <c r="B17" s="688" t="s">
        <v>118</v>
      </c>
      <c r="C17" s="697">
        <v>1.1999999999999999E-6</v>
      </c>
      <c r="D17" s="117"/>
      <c r="E17" s="698">
        <f t="shared" si="0"/>
        <v>1.0764705882352941E-7</v>
      </c>
      <c r="F17" s="692">
        <f t="shared" si="1"/>
        <v>5.8823529411764704E-9</v>
      </c>
      <c r="G17" s="117"/>
      <c r="H17" s="704">
        <f t="shared" si="2"/>
        <v>5.8823529411764704E-9</v>
      </c>
      <c r="I17" s="697">
        <f t="shared" si="3"/>
        <v>2.5764705882352942E-8</v>
      </c>
      <c r="J17" s="117"/>
      <c r="K17" s="698">
        <f t="shared" si="4"/>
        <v>2.5764705882352942E-8</v>
      </c>
      <c r="L17" s="709">
        <f t="shared" si="5"/>
        <v>5.8823529411764704E-9</v>
      </c>
      <c r="M17" s="158">
        <f t="shared" si="7"/>
        <v>2.5764705882352942E-8</v>
      </c>
      <c r="N17" s="339">
        <f t="shared" si="6"/>
        <v>2.5764705882352942E-8</v>
      </c>
      <c r="O17" s="122"/>
    </row>
    <row r="18" spans="1:15" s="124" customFormat="1" x14ac:dyDescent="0.2">
      <c r="A18" s="951"/>
      <c r="B18" s="687" t="s">
        <v>119</v>
      </c>
      <c r="C18" s="697">
        <v>1.7999999999999999E-6</v>
      </c>
      <c r="D18" s="117">
        <v>1.48E-6</v>
      </c>
      <c r="E18" s="698">
        <f t="shared" si="0"/>
        <v>1.614705882352941E-7</v>
      </c>
      <c r="F18" s="692">
        <f t="shared" si="1"/>
        <v>8.823529411764706E-9</v>
      </c>
      <c r="G18" s="117">
        <f>D18*$B$7</f>
        <v>5.2855255169458243E-8</v>
      </c>
      <c r="H18" s="704">
        <f t="shared" si="2"/>
        <v>8.8235294117647043E-9</v>
      </c>
      <c r="I18" s="697">
        <f t="shared" si="3"/>
        <v>3.8647058823529411E-8</v>
      </c>
      <c r="J18" s="117">
        <f>G18*8760/2000*H$6</f>
        <v>2.3150601764222709E-7</v>
      </c>
      <c r="K18" s="698">
        <f t="shared" si="4"/>
        <v>3.8647058823529405E-8</v>
      </c>
      <c r="L18" s="709">
        <f t="shared" si="5"/>
        <v>5.2855255169458243E-8</v>
      </c>
      <c r="M18" s="158">
        <f t="shared" si="7"/>
        <v>2.3150601764222709E-7</v>
      </c>
      <c r="N18" s="339">
        <f t="shared" si="6"/>
        <v>2.3150601764222709E-7</v>
      </c>
      <c r="O18" s="122"/>
    </row>
    <row r="19" spans="1:15" s="124" customFormat="1" x14ac:dyDescent="0.2">
      <c r="A19" s="951"/>
      <c r="B19" s="687" t="s">
        <v>120</v>
      </c>
      <c r="C19" s="697">
        <v>1.1999999999999999E-6</v>
      </c>
      <c r="D19" s="117">
        <v>2.26E-6</v>
      </c>
      <c r="E19" s="698">
        <f t="shared" si="0"/>
        <v>1.0764705882352941E-7</v>
      </c>
      <c r="F19" s="692">
        <f t="shared" si="1"/>
        <v>5.8823529411764704E-9</v>
      </c>
      <c r="G19" s="117">
        <f>D19*$B$7</f>
        <v>8.0711403164172727E-8</v>
      </c>
      <c r="H19" s="704">
        <f t="shared" si="2"/>
        <v>5.8823529411764704E-9</v>
      </c>
      <c r="I19" s="697">
        <f t="shared" si="3"/>
        <v>2.5764705882352942E-8</v>
      </c>
      <c r="J19" s="117">
        <f>G19*8760/2000*H$6</f>
        <v>3.5351594585907655E-7</v>
      </c>
      <c r="K19" s="698">
        <f t="shared" si="4"/>
        <v>2.5764705882352942E-8</v>
      </c>
      <c r="L19" s="709">
        <f t="shared" si="5"/>
        <v>8.0711403164172727E-8</v>
      </c>
      <c r="M19" s="158">
        <f t="shared" si="7"/>
        <v>3.5351594585907655E-7</v>
      </c>
      <c r="N19" s="339">
        <f t="shared" si="6"/>
        <v>3.5351594585907655E-7</v>
      </c>
      <c r="O19" s="122"/>
    </row>
    <row r="20" spans="1:15" s="124" customFormat="1" x14ac:dyDescent="0.2">
      <c r="A20" s="951"/>
      <c r="B20" s="687" t="s">
        <v>121</v>
      </c>
      <c r="C20" s="697">
        <v>1.7999999999999999E-6</v>
      </c>
      <c r="D20" s="117">
        <v>1.48E-6</v>
      </c>
      <c r="E20" s="698">
        <f t="shared" si="0"/>
        <v>1.614705882352941E-7</v>
      </c>
      <c r="F20" s="692">
        <f t="shared" si="1"/>
        <v>8.823529411764706E-9</v>
      </c>
      <c r="G20" s="117">
        <f>D20*$B$7</f>
        <v>5.2855255169458243E-8</v>
      </c>
      <c r="H20" s="704">
        <f t="shared" si="2"/>
        <v>8.8235294117647043E-9</v>
      </c>
      <c r="I20" s="697">
        <f t="shared" si="3"/>
        <v>3.8647058823529411E-8</v>
      </c>
      <c r="J20" s="117">
        <f>G20*8760/2000*H$6</f>
        <v>2.3150601764222709E-7</v>
      </c>
      <c r="K20" s="698">
        <f t="shared" si="4"/>
        <v>3.8647058823529405E-8</v>
      </c>
      <c r="L20" s="709">
        <f t="shared" si="5"/>
        <v>5.2855255169458243E-8</v>
      </c>
      <c r="M20" s="158">
        <f t="shared" si="7"/>
        <v>2.3150601764222709E-7</v>
      </c>
      <c r="N20" s="339">
        <f t="shared" si="6"/>
        <v>2.3150601764222709E-7</v>
      </c>
      <c r="O20" s="122"/>
    </row>
    <row r="21" spans="1:15" s="124" customFormat="1" x14ac:dyDescent="0.2">
      <c r="A21" s="951"/>
      <c r="B21" s="687" t="s">
        <v>122</v>
      </c>
      <c r="C21" s="697">
        <v>1.7999999999999999E-6</v>
      </c>
      <c r="D21" s="117">
        <v>2.3800000000000001E-6</v>
      </c>
      <c r="E21" s="698">
        <f t="shared" si="0"/>
        <v>1.614705882352941E-7</v>
      </c>
      <c r="F21" s="692">
        <f t="shared" si="1"/>
        <v>8.823529411764706E-9</v>
      </c>
      <c r="G21" s="117">
        <f>D21*$B$7</f>
        <v>8.4996964394128803E-8</v>
      </c>
      <c r="H21" s="704">
        <f t="shared" si="2"/>
        <v>8.8235294117647043E-9</v>
      </c>
      <c r="I21" s="697">
        <f t="shared" si="3"/>
        <v>3.8647058823529411E-8</v>
      </c>
      <c r="J21" s="117">
        <f>G21*8760/2000*H$6</f>
        <v>3.7228670404628417E-7</v>
      </c>
      <c r="K21" s="698">
        <f t="shared" si="4"/>
        <v>3.8647058823529405E-8</v>
      </c>
      <c r="L21" s="709">
        <f t="shared" si="5"/>
        <v>8.4996964394128803E-8</v>
      </c>
      <c r="M21" s="158">
        <f t="shared" si="7"/>
        <v>3.7228670404628417E-7</v>
      </c>
      <c r="N21" s="339">
        <f t="shared" si="6"/>
        <v>3.7228670404628417E-7</v>
      </c>
      <c r="O21" s="122"/>
    </row>
    <row r="22" spans="1:15" s="124" customFormat="1" x14ac:dyDescent="0.2">
      <c r="A22" s="951"/>
      <c r="B22" s="687" t="s">
        <v>123</v>
      </c>
      <c r="C22" s="697">
        <v>1.1999999999999999E-3</v>
      </c>
      <c r="D22" s="117">
        <v>1.6700000000000001E-6</v>
      </c>
      <c r="E22" s="698">
        <f t="shared" si="0"/>
        <v>1.0764705882352939E-4</v>
      </c>
      <c r="F22" s="692">
        <f t="shared" si="1"/>
        <v>5.8823529411764701E-6</v>
      </c>
      <c r="G22" s="117">
        <f>D22*$B$7</f>
        <v>5.9640727116888694E-8</v>
      </c>
      <c r="H22" s="704">
        <f t="shared" si="2"/>
        <v>5.8823529411764692E-6</v>
      </c>
      <c r="I22" s="697">
        <f t="shared" si="3"/>
        <v>2.5764705882352938E-5</v>
      </c>
      <c r="J22" s="117">
        <f>G22*8760/2000*H$6</f>
        <v>2.6122638477197246E-7</v>
      </c>
      <c r="K22" s="698">
        <f t="shared" si="4"/>
        <v>2.5764705882352935E-5</v>
      </c>
      <c r="L22" s="709">
        <f t="shared" si="5"/>
        <v>5.8823529411764701E-6</v>
      </c>
      <c r="M22" s="158">
        <f t="shared" si="7"/>
        <v>2.5764705882352938E-5</v>
      </c>
      <c r="N22" s="339">
        <f t="shared" si="6"/>
        <v>2.5764705882352938E-5</v>
      </c>
      <c r="O22" s="122"/>
    </row>
    <row r="23" spans="1:15" s="124" customFormat="1" x14ac:dyDescent="0.2">
      <c r="A23" s="951"/>
      <c r="B23" s="687" t="s">
        <v>124</v>
      </c>
      <c r="C23" s="697">
        <v>1.1999999999999999E-3</v>
      </c>
      <c r="D23" s="117"/>
      <c r="E23" s="698">
        <f t="shared" si="0"/>
        <v>1.0764705882352939E-4</v>
      </c>
      <c r="F23" s="692">
        <f t="shared" si="1"/>
        <v>5.8823529411764701E-6</v>
      </c>
      <c r="G23" s="117"/>
      <c r="H23" s="704">
        <f t="shared" si="2"/>
        <v>5.8823529411764692E-6</v>
      </c>
      <c r="I23" s="697">
        <f t="shared" si="3"/>
        <v>2.5764705882352938E-5</v>
      </c>
      <c r="J23" s="117"/>
      <c r="K23" s="698">
        <f t="shared" si="4"/>
        <v>2.5764705882352935E-5</v>
      </c>
      <c r="L23" s="709">
        <f t="shared" si="5"/>
        <v>5.8823529411764701E-6</v>
      </c>
      <c r="M23" s="158">
        <f t="shared" si="7"/>
        <v>2.5764705882352938E-5</v>
      </c>
      <c r="N23" s="339">
        <f t="shared" si="6"/>
        <v>2.5764705882352938E-5</v>
      </c>
      <c r="O23" s="122"/>
    </row>
    <row r="24" spans="1:15" s="124" customFormat="1" x14ac:dyDescent="0.2">
      <c r="A24" s="951"/>
      <c r="B24" s="687" t="s">
        <v>214</v>
      </c>
      <c r="C24" s="697">
        <v>1.5999999999999999E-5</v>
      </c>
      <c r="D24" s="117"/>
      <c r="E24" s="698">
        <f t="shared" si="0"/>
        <v>1.4352941176470588E-6</v>
      </c>
      <c r="F24" s="692">
        <f t="shared" si="1"/>
        <v>7.8431372549019607E-8</v>
      </c>
      <c r="G24" s="117"/>
      <c r="H24" s="704">
        <f t="shared" si="2"/>
        <v>7.8431372549019607E-8</v>
      </c>
      <c r="I24" s="697">
        <f t="shared" si="3"/>
        <v>3.4352941176470583E-7</v>
      </c>
      <c r="J24" s="117"/>
      <c r="K24" s="698">
        <f t="shared" si="4"/>
        <v>3.4352941176470583E-7</v>
      </c>
      <c r="L24" s="709">
        <f t="shared" si="5"/>
        <v>7.8431372549019607E-8</v>
      </c>
      <c r="M24" s="158">
        <f t="shared" si="7"/>
        <v>3.4352941176470583E-7</v>
      </c>
      <c r="N24" s="339">
        <f t="shared" si="6"/>
        <v>3.4352941176470583E-7</v>
      </c>
      <c r="O24" s="122"/>
    </row>
    <row r="25" spans="1:15" s="124" customFormat="1" x14ac:dyDescent="0.2">
      <c r="A25" s="951"/>
      <c r="B25" s="687" t="s">
        <v>125</v>
      </c>
      <c r="C25" s="697"/>
      <c r="D25" s="117">
        <v>6.3600000000000001E-5</v>
      </c>
      <c r="E25" s="698"/>
      <c r="F25" s="692"/>
      <c r="G25" s="117">
        <f>D25*$B$7</f>
        <v>2.2713474518767194E-6</v>
      </c>
      <c r="H25" s="704"/>
      <c r="I25" s="697"/>
      <c r="J25" s="117">
        <f>G25*8760/2000*H$6</f>
        <v>9.9485018392200313E-6</v>
      </c>
      <c r="K25" s="698"/>
      <c r="L25" s="709">
        <f t="shared" si="5"/>
        <v>2.2713474518767194E-6</v>
      </c>
      <c r="M25" s="158">
        <f t="shared" si="7"/>
        <v>9.9485018392200313E-6</v>
      </c>
      <c r="N25" s="339">
        <f t="shared" si="6"/>
        <v>9.9485018392200313E-6</v>
      </c>
      <c r="O25" s="122"/>
    </row>
    <row r="26" spans="1:15" s="124" customFormat="1" x14ac:dyDescent="0.2">
      <c r="A26" s="951"/>
      <c r="B26" s="687" t="s">
        <v>126</v>
      </c>
      <c r="C26" s="697">
        <v>3.0000000000000001E-6</v>
      </c>
      <c r="D26" s="117">
        <v>4.8400000000000002E-6</v>
      </c>
      <c r="E26" s="698">
        <f t="shared" ref="E26:E34" si="8">C26/$H$8*$H$9*1000</f>
        <v>2.6911764705882348E-7</v>
      </c>
      <c r="F26" s="692">
        <f t="shared" ref="F26:F37" si="9">C26*$B$8</f>
        <v>1.4705882352941177E-8</v>
      </c>
      <c r="G26" s="117">
        <f>D26*$B$7</f>
        <v>1.7285096960822832E-7</v>
      </c>
      <c r="H26" s="704">
        <f t="shared" ref="H26:H34" si="10">E26*$B$9</f>
        <v>1.4705882352941174E-8</v>
      </c>
      <c r="I26" s="697">
        <f t="shared" ref="I26:I37" si="11">F26*8760/2000</f>
        <v>6.4411764705882357E-8</v>
      </c>
      <c r="J26" s="117">
        <f>G26*8760/2000*H$6</f>
        <v>7.5708724688404006E-7</v>
      </c>
      <c r="K26" s="698">
        <f t="shared" ref="K26:K37" si="12">H26*8760/2000</f>
        <v>6.4411764705882343E-8</v>
      </c>
      <c r="L26" s="709">
        <f t="shared" si="5"/>
        <v>1.7285096960822832E-7</v>
      </c>
      <c r="M26" s="158">
        <f t="shared" si="7"/>
        <v>7.5708724688404006E-7</v>
      </c>
      <c r="N26" s="339">
        <f t="shared" si="6"/>
        <v>7.5708724688404006E-7</v>
      </c>
      <c r="O26" s="122"/>
    </row>
    <row r="27" spans="1:15" s="124" customFormat="1" x14ac:dyDescent="0.2">
      <c r="A27" s="951"/>
      <c r="B27" s="687" t="s">
        <v>127</v>
      </c>
      <c r="C27" s="697">
        <v>2.7999999999999999E-6</v>
      </c>
      <c r="D27" s="117">
        <v>4.4700000000000004E-6</v>
      </c>
      <c r="E27" s="698">
        <f t="shared" si="8"/>
        <v>2.5117647058823527E-7</v>
      </c>
      <c r="F27" s="692">
        <f t="shared" si="9"/>
        <v>1.3725490196078431E-8</v>
      </c>
      <c r="G27" s="117">
        <f>D27*$B$7</f>
        <v>1.5963715581586377E-7</v>
      </c>
      <c r="H27" s="704">
        <f t="shared" si="10"/>
        <v>1.3725490196078431E-8</v>
      </c>
      <c r="I27" s="697">
        <f t="shared" si="11"/>
        <v>6.0117647058823526E-8</v>
      </c>
      <c r="J27" s="117">
        <f>G27*8760/2000*H$6</f>
        <v>6.9921074247348328E-7</v>
      </c>
      <c r="K27" s="698">
        <f t="shared" si="12"/>
        <v>6.0117647058823526E-8</v>
      </c>
      <c r="L27" s="709">
        <f t="shared" si="5"/>
        <v>1.5963715581586377E-7</v>
      </c>
      <c r="M27" s="158">
        <f t="shared" si="7"/>
        <v>6.9921074247348328E-7</v>
      </c>
      <c r="N27" s="339">
        <f t="shared" si="6"/>
        <v>6.9921074247348328E-7</v>
      </c>
      <c r="O27" s="122"/>
    </row>
    <row r="28" spans="1:15" s="124" customFormat="1" x14ac:dyDescent="0.2">
      <c r="A28" s="951"/>
      <c r="B28" s="687" t="s">
        <v>128</v>
      </c>
      <c r="C28" s="697">
        <v>7.4999999999999997E-2</v>
      </c>
      <c r="D28" s="117">
        <v>3.3000000000000002E-2</v>
      </c>
      <c r="E28" s="698">
        <f t="shared" si="8"/>
        <v>6.7279411764705876E-3</v>
      </c>
      <c r="F28" s="692">
        <f t="shared" si="9"/>
        <v>3.6764705882352941E-4</v>
      </c>
      <c r="G28" s="117">
        <f>D28*$B$7</f>
        <v>1.1785293382379203E-3</v>
      </c>
      <c r="H28" s="704">
        <f t="shared" si="10"/>
        <v>3.6764705882352935E-4</v>
      </c>
      <c r="I28" s="697">
        <f t="shared" si="11"/>
        <v>1.6102941176470589E-3</v>
      </c>
      <c r="J28" s="117">
        <f>G28*8760/2000*H$6</f>
        <v>5.1619585014820906E-3</v>
      </c>
      <c r="K28" s="698">
        <f t="shared" si="12"/>
        <v>1.6102941176470587E-3</v>
      </c>
      <c r="L28" s="709">
        <f t="shared" si="5"/>
        <v>1.1785293382379203E-3</v>
      </c>
      <c r="M28" s="158">
        <f t="shared" si="7"/>
        <v>5.1619585014820906E-3</v>
      </c>
      <c r="N28" s="339">
        <f t="shared" si="6"/>
        <v>5.1619585014820906E-3</v>
      </c>
      <c r="O28" s="122"/>
    </row>
    <row r="29" spans="1:15" s="124" customFormat="1" x14ac:dyDescent="0.2">
      <c r="A29" s="951"/>
      <c r="B29" s="687" t="s">
        <v>129</v>
      </c>
      <c r="C29" s="697">
        <v>1.8</v>
      </c>
      <c r="D29" s="117"/>
      <c r="E29" s="698">
        <f t="shared" si="8"/>
        <v>0.16147058823529412</v>
      </c>
      <c r="F29" s="692">
        <f t="shared" si="9"/>
        <v>8.8235294117647058E-3</v>
      </c>
      <c r="G29" s="117"/>
      <c r="H29" s="704">
        <f t="shared" si="10"/>
        <v>8.8235294117647058E-3</v>
      </c>
      <c r="I29" s="697">
        <f t="shared" si="11"/>
        <v>3.8647058823529416E-2</v>
      </c>
      <c r="J29" s="117"/>
      <c r="K29" s="698">
        <f t="shared" si="12"/>
        <v>3.8647058823529416E-2</v>
      </c>
      <c r="L29" s="709">
        <f t="shared" si="5"/>
        <v>8.8235294117647058E-3</v>
      </c>
      <c r="M29" s="158">
        <f t="shared" si="7"/>
        <v>3.8647058823529416E-2</v>
      </c>
      <c r="N29" s="340">
        <f t="shared" si="6"/>
        <v>3.8647058823529416E-2</v>
      </c>
      <c r="O29" s="122"/>
    </row>
    <row r="30" spans="1:15" s="124" customFormat="1" x14ac:dyDescent="0.2">
      <c r="A30" s="951"/>
      <c r="B30" s="687" t="s">
        <v>130</v>
      </c>
      <c r="C30" s="697">
        <v>1.7999999999999999E-6</v>
      </c>
      <c r="D30" s="117">
        <v>2.1399999999999998E-6</v>
      </c>
      <c r="E30" s="698">
        <f t="shared" si="8"/>
        <v>1.614705882352941E-7</v>
      </c>
      <c r="F30" s="692">
        <f t="shared" si="9"/>
        <v>8.823529411764706E-9</v>
      </c>
      <c r="G30" s="117">
        <f>D30*$B$7</f>
        <v>7.642584193421665E-8</v>
      </c>
      <c r="H30" s="704">
        <f t="shared" si="10"/>
        <v>8.8235294117647043E-9</v>
      </c>
      <c r="I30" s="697">
        <f t="shared" si="11"/>
        <v>3.8647058823529411E-8</v>
      </c>
      <c r="J30" s="117">
        <f>G30*8760/2000*H$6</f>
        <v>3.3474518767186893E-7</v>
      </c>
      <c r="K30" s="698">
        <f t="shared" si="12"/>
        <v>3.8647058823529405E-8</v>
      </c>
      <c r="L30" s="709">
        <f t="shared" si="5"/>
        <v>7.642584193421665E-8</v>
      </c>
      <c r="M30" s="158">
        <f t="shared" si="7"/>
        <v>3.3474518767186893E-7</v>
      </c>
      <c r="N30" s="340">
        <f t="shared" si="6"/>
        <v>3.3474518767186893E-7</v>
      </c>
      <c r="O30" s="122"/>
    </row>
    <row r="31" spans="1:15" s="124" customFormat="1" x14ac:dyDescent="0.2">
      <c r="A31" s="951"/>
      <c r="B31" s="687" t="s">
        <v>216</v>
      </c>
      <c r="C31" s="697">
        <v>2.4000000000000001E-5</v>
      </c>
      <c r="D31" s="117"/>
      <c r="E31" s="698">
        <f t="shared" si="8"/>
        <v>2.1529411764705878E-6</v>
      </c>
      <c r="F31" s="692">
        <f t="shared" si="9"/>
        <v>1.1764705882352942E-7</v>
      </c>
      <c r="G31" s="117"/>
      <c r="H31" s="704">
        <f t="shared" si="10"/>
        <v>1.1764705882352939E-7</v>
      </c>
      <c r="I31" s="697">
        <f t="shared" si="11"/>
        <v>5.1529411764705885E-7</v>
      </c>
      <c r="J31" s="117"/>
      <c r="K31" s="698">
        <f t="shared" si="12"/>
        <v>5.1529411764705875E-7</v>
      </c>
      <c r="L31" s="709">
        <f t="shared" si="5"/>
        <v>1.1764705882352942E-7</v>
      </c>
      <c r="M31" s="158">
        <f>L31*8760/2000</f>
        <v>5.1529411764705885E-7</v>
      </c>
      <c r="N31" s="340">
        <f t="shared" si="6"/>
        <v>5.1529411764705885E-7</v>
      </c>
      <c r="O31" s="122"/>
    </row>
    <row r="32" spans="1:15" s="124" customFormat="1" x14ac:dyDescent="0.2">
      <c r="A32" s="951"/>
      <c r="B32" s="687" t="s">
        <v>217</v>
      </c>
      <c r="C32" s="697">
        <v>1.7999999999999999E-6</v>
      </c>
      <c r="D32" s="117"/>
      <c r="E32" s="698">
        <f t="shared" si="8"/>
        <v>1.614705882352941E-7</v>
      </c>
      <c r="F32" s="692">
        <f t="shared" si="9"/>
        <v>8.823529411764706E-9</v>
      </c>
      <c r="G32" s="117"/>
      <c r="H32" s="704">
        <f t="shared" si="10"/>
        <v>8.8235294117647043E-9</v>
      </c>
      <c r="I32" s="697">
        <f t="shared" si="11"/>
        <v>3.8647058823529411E-8</v>
      </c>
      <c r="J32" s="117"/>
      <c r="K32" s="698">
        <f t="shared" si="12"/>
        <v>3.8647058823529405E-8</v>
      </c>
      <c r="L32" s="709">
        <f t="shared" si="5"/>
        <v>8.823529411764706E-9</v>
      </c>
      <c r="M32" s="158">
        <f>L32*8760/2000</f>
        <v>3.8647058823529411E-8</v>
      </c>
      <c r="N32" s="340">
        <f t="shared" si="6"/>
        <v>3.8647058823529411E-8</v>
      </c>
      <c r="O32" s="122"/>
    </row>
    <row r="33" spans="1:19" s="124" customFormat="1" x14ac:dyDescent="0.2">
      <c r="A33" s="951"/>
      <c r="B33" s="687" t="s">
        <v>131</v>
      </c>
      <c r="C33" s="697">
        <v>6.0999999999999997E-4</v>
      </c>
      <c r="D33" s="117">
        <v>1.1299999999999999E-3</v>
      </c>
      <c r="E33" s="698">
        <f t="shared" si="8"/>
        <v>5.4720588235294111E-5</v>
      </c>
      <c r="F33" s="692">
        <f t="shared" si="9"/>
        <v>2.9901960784313724E-6</v>
      </c>
      <c r="G33" s="117">
        <f t="shared" ref="G33:G43" si="13">D33*$B$7</f>
        <v>4.0355701582086361E-5</v>
      </c>
      <c r="H33" s="704">
        <f t="shared" si="10"/>
        <v>2.990196078431372E-6</v>
      </c>
      <c r="I33" s="697">
        <f t="shared" si="11"/>
        <v>1.3097058823529411E-5</v>
      </c>
      <c r="J33" s="117">
        <f>G33*8760/2000*H$6</f>
        <v>1.7675797292953827E-4</v>
      </c>
      <c r="K33" s="698">
        <f t="shared" si="12"/>
        <v>1.309705882352941E-5</v>
      </c>
      <c r="L33" s="709">
        <f t="shared" si="5"/>
        <v>4.0355701582086361E-5</v>
      </c>
      <c r="M33" s="158">
        <f t="shared" ref="M33:M34" si="14">L33*8760/2000</f>
        <v>1.7675797292953827E-4</v>
      </c>
      <c r="N33" s="340">
        <f t="shared" si="6"/>
        <v>1.7675797292953827E-4</v>
      </c>
      <c r="O33" s="122"/>
    </row>
    <row r="34" spans="1:19" s="124" customFormat="1" x14ac:dyDescent="0.2">
      <c r="A34" s="951"/>
      <c r="B34" s="687" t="s">
        <v>132</v>
      </c>
      <c r="C34" s="697">
        <v>1.7E-5</v>
      </c>
      <c r="D34" s="117">
        <v>1.0499999999999999E-5</v>
      </c>
      <c r="E34" s="698">
        <f t="shared" si="8"/>
        <v>1.525E-6</v>
      </c>
      <c r="F34" s="692">
        <f t="shared" si="9"/>
        <v>8.3333333333333325E-8</v>
      </c>
      <c r="G34" s="117">
        <f t="shared" si="13"/>
        <v>3.7498660762115644E-7</v>
      </c>
      <c r="H34" s="704">
        <f t="shared" si="10"/>
        <v>8.3333333333333325E-8</v>
      </c>
      <c r="I34" s="697">
        <f t="shared" si="11"/>
        <v>3.65E-7</v>
      </c>
      <c r="J34" s="117">
        <f>G34*8760/2000*H$6</f>
        <v>1.6424413413806652E-6</v>
      </c>
      <c r="K34" s="698">
        <f t="shared" si="12"/>
        <v>3.65E-7</v>
      </c>
      <c r="L34" s="709">
        <f t="shared" si="5"/>
        <v>3.7498660762115644E-7</v>
      </c>
      <c r="M34" s="158">
        <f t="shared" si="14"/>
        <v>1.6424413413806652E-6</v>
      </c>
      <c r="N34" s="340">
        <f t="shared" si="6"/>
        <v>1.6424413413806652E-6</v>
      </c>
      <c r="O34" s="122"/>
    </row>
    <row r="35" spans="1:19" s="124" customFormat="1" x14ac:dyDescent="0.2">
      <c r="A35" s="951"/>
      <c r="B35" s="687" t="s">
        <v>242</v>
      </c>
      <c r="C35" s="697"/>
      <c r="D35" s="117"/>
      <c r="E35" s="698"/>
      <c r="F35" s="692"/>
      <c r="G35" s="117"/>
      <c r="H35" s="704"/>
      <c r="I35" s="697"/>
      <c r="J35" s="117"/>
      <c r="K35" s="698"/>
      <c r="L35" s="709">
        <f t="shared" si="5"/>
        <v>0</v>
      </c>
      <c r="M35" s="158">
        <f>L35*8760/2000</f>
        <v>0</v>
      </c>
      <c r="N35" s="340">
        <f>MAX(I35:K35)</f>
        <v>0</v>
      </c>
      <c r="O35" s="122"/>
    </row>
    <row r="36" spans="1:19" s="124" customFormat="1" x14ac:dyDescent="0.2">
      <c r="A36" s="951"/>
      <c r="B36" s="687" t="s">
        <v>133</v>
      </c>
      <c r="C36" s="697">
        <v>5.0000000000000004E-6</v>
      </c>
      <c r="D36" s="117">
        <v>4.25E-6</v>
      </c>
      <c r="E36" s="698">
        <f>C36/$H$8*$H$9*1000</f>
        <v>4.4852941176470594E-7</v>
      </c>
      <c r="F36" s="692">
        <f t="shared" si="9"/>
        <v>2.450980392156863E-8</v>
      </c>
      <c r="G36" s="117">
        <f t="shared" si="13"/>
        <v>1.5178029356094429E-7</v>
      </c>
      <c r="H36" s="704">
        <f>E36*$B$9</f>
        <v>2.450980392156863E-8</v>
      </c>
      <c r="I36" s="697">
        <f t="shared" si="11"/>
        <v>1.073529411764706E-7</v>
      </c>
      <c r="J36" s="117">
        <f t="shared" ref="J36:J43" si="15">G36*8760/2000*H$6</f>
        <v>6.6479768579693597E-7</v>
      </c>
      <c r="K36" s="698">
        <f t="shared" si="12"/>
        <v>1.073529411764706E-7</v>
      </c>
      <c r="L36" s="709">
        <f t="shared" si="5"/>
        <v>1.5178029356094429E-7</v>
      </c>
      <c r="M36" s="158">
        <f t="shared" ref="M36:M37" si="16">L36*8760/2000</f>
        <v>6.6479768579693597E-7</v>
      </c>
      <c r="N36" s="340">
        <f t="shared" si="6"/>
        <v>6.6479768579693597E-7</v>
      </c>
      <c r="O36" s="122"/>
    </row>
    <row r="37" spans="1:19" s="124" customFormat="1" x14ac:dyDescent="0.2">
      <c r="A37" s="951"/>
      <c r="B37" s="687" t="s">
        <v>134</v>
      </c>
      <c r="C37" s="697">
        <v>3.3999999999999998E-3</v>
      </c>
      <c r="D37" s="117">
        <v>6.1999999999999998E-3</v>
      </c>
      <c r="E37" s="698">
        <f>C37/$H$8*$H$9*1000</f>
        <v>3.0499999999999999E-4</v>
      </c>
      <c r="F37" s="692">
        <f t="shared" si="9"/>
        <v>1.6666666666666664E-5</v>
      </c>
      <c r="G37" s="117">
        <f t="shared" si="13"/>
        <v>2.2142066354773047E-4</v>
      </c>
      <c r="H37" s="704">
        <f>E37*$B$9</f>
        <v>1.6666666666666664E-5</v>
      </c>
      <c r="I37" s="697">
        <f t="shared" si="11"/>
        <v>7.2999999999999999E-5</v>
      </c>
      <c r="J37" s="117">
        <f t="shared" si="15"/>
        <v>9.698225063390594E-4</v>
      </c>
      <c r="K37" s="698">
        <f t="shared" si="12"/>
        <v>7.2999999999999999E-5</v>
      </c>
      <c r="L37" s="709">
        <f t="shared" si="5"/>
        <v>2.2142066354773047E-4</v>
      </c>
      <c r="M37" s="158">
        <f t="shared" si="16"/>
        <v>9.698225063390594E-4</v>
      </c>
      <c r="N37" s="340">
        <f t="shared" si="6"/>
        <v>9.698225063390594E-4</v>
      </c>
      <c r="O37" s="122"/>
    </row>
    <row r="38" spans="1:19" s="124" customFormat="1" x14ac:dyDescent="0.2">
      <c r="A38" s="951"/>
      <c r="B38" s="687" t="s">
        <v>240</v>
      </c>
      <c r="C38" s="697"/>
      <c r="D38" s="117">
        <v>2.3599999999999999E-4</v>
      </c>
      <c r="E38" s="698"/>
      <c r="F38" s="692"/>
      <c r="G38" s="117">
        <f t="shared" si="13"/>
        <v>8.4282704189136117E-6</v>
      </c>
      <c r="H38" s="704"/>
      <c r="I38" s="697"/>
      <c r="J38" s="117">
        <f t="shared" si="15"/>
        <v>3.6915824434841618E-5</v>
      </c>
      <c r="K38" s="698"/>
      <c r="L38" s="709">
        <f t="shared" si="5"/>
        <v>8.4282704189136117E-6</v>
      </c>
      <c r="M38" s="158">
        <f>L38*8760/2000</f>
        <v>3.6915824434841618E-5</v>
      </c>
      <c r="N38" s="340">
        <f t="shared" si="6"/>
        <v>3.6915824434841618E-5</v>
      </c>
      <c r="O38" s="122"/>
    </row>
    <row r="39" spans="1:19" s="124" customFormat="1" x14ac:dyDescent="0.2">
      <c r="A39" s="951"/>
      <c r="B39" s="687" t="s">
        <v>135</v>
      </c>
      <c r="C39" s="697"/>
      <c r="D39" s="117">
        <v>1.0900000000000001E-4</v>
      </c>
      <c r="E39" s="698"/>
      <c r="F39" s="692"/>
      <c r="G39" s="117">
        <f t="shared" si="13"/>
        <v>3.892718117210101E-6</v>
      </c>
      <c r="H39" s="704"/>
      <c r="I39" s="697"/>
      <c r="J39" s="117">
        <f t="shared" si="15"/>
        <v>1.705010535338024E-5</v>
      </c>
      <c r="K39" s="698"/>
      <c r="L39" s="709">
        <f t="shared" si="5"/>
        <v>3.892718117210101E-6</v>
      </c>
      <c r="M39" s="158">
        <f t="shared" ref="M39:M47" si="17">L39*8760/2000</f>
        <v>1.705010535338024E-5</v>
      </c>
      <c r="N39" s="340">
        <f t="shared" si="6"/>
        <v>1.705010535338024E-5</v>
      </c>
      <c r="O39" s="122"/>
    </row>
    <row r="40" spans="1:19" s="124" customFormat="1" x14ac:dyDescent="0.2">
      <c r="A40" s="951"/>
      <c r="B40" s="687" t="s">
        <v>137</v>
      </c>
      <c r="C40" s="697">
        <v>2.0000000000000001E-4</v>
      </c>
      <c r="D40" s="117">
        <f>(0.000004)*$H$7/1000</f>
        <v>5.6002E-10</v>
      </c>
      <c r="E40" s="698">
        <f t="shared" ref="E40:E48" si="18">C40/$H$8*$H$9*1000</f>
        <v>1.7941176470588237E-5</v>
      </c>
      <c r="F40" s="692">
        <f t="shared" ref="F40:F48" si="19">C40*$B$8</f>
        <v>9.8039215686274508E-7</v>
      </c>
      <c r="G40" s="117">
        <f t="shared" si="13"/>
        <v>2.0000000000000005E-11</v>
      </c>
      <c r="H40" s="704">
        <f t="shared" ref="H40:H48" si="20">E40*$B$9</f>
        <v>9.8039215686274508E-7</v>
      </c>
      <c r="I40" s="697">
        <f t="shared" ref="I40:I62" si="21">F40*8760/2000</f>
        <v>4.2941176470588233E-6</v>
      </c>
      <c r="J40" s="117">
        <f t="shared" si="15"/>
        <v>8.7600000000000013E-11</v>
      </c>
      <c r="K40" s="698">
        <f t="shared" ref="K40:K62" si="22">H40*8760/2000</f>
        <v>4.2941176470588233E-6</v>
      </c>
      <c r="L40" s="709">
        <f t="shared" si="5"/>
        <v>9.8039215686274508E-7</v>
      </c>
      <c r="M40" s="158">
        <f t="shared" si="17"/>
        <v>4.2941176470588233E-6</v>
      </c>
      <c r="N40" s="340">
        <f t="shared" si="6"/>
        <v>4.2941176470588233E-6</v>
      </c>
      <c r="O40" s="122"/>
      <c r="Q40" s="150"/>
    </row>
    <row r="41" spans="1:19" s="124" customFormat="1" x14ac:dyDescent="0.2">
      <c r="A41" s="951"/>
      <c r="B41" s="687" t="s">
        <v>138</v>
      </c>
      <c r="C41" s="697">
        <v>1.2E-5</v>
      </c>
      <c r="D41" s="117">
        <f>(0.000003)*$H$7/1000</f>
        <v>4.2001499999999997E-10</v>
      </c>
      <c r="E41" s="698">
        <f t="shared" si="18"/>
        <v>1.0764705882352939E-6</v>
      </c>
      <c r="F41" s="692">
        <f t="shared" si="19"/>
        <v>5.8823529411764709E-8</v>
      </c>
      <c r="G41" s="117">
        <f t="shared" si="13"/>
        <v>1.5000000000000003E-11</v>
      </c>
      <c r="H41" s="704">
        <f t="shared" si="20"/>
        <v>5.8823529411764695E-8</v>
      </c>
      <c r="I41" s="697">
        <f t="shared" si="21"/>
        <v>2.5764705882352943E-7</v>
      </c>
      <c r="J41" s="117">
        <f t="shared" si="15"/>
        <v>6.5700000000000016E-11</v>
      </c>
      <c r="K41" s="698">
        <f t="shared" si="22"/>
        <v>2.5764705882352937E-7</v>
      </c>
      <c r="L41" s="709">
        <f t="shared" si="5"/>
        <v>5.8823529411764709E-8</v>
      </c>
      <c r="M41" s="158">
        <f t="shared" si="17"/>
        <v>2.5764705882352943E-7</v>
      </c>
      <c r="N41" s="340">
        <f t="shared" si="6"/>
        <v>2.5764705882352943E-7</v>
      </c>
      <c r="O41" s="122"/>
      <c r="Q41" s="150"/>
    </row>
    <row r="42" spans="1:19" s="124" customFormat="1" x14ac:dyDescent="0.2">
      <c r="A42" s="951"/>
      <c r="B42" s="687" t="s">
        <v>139</v>
      </c>
      <c r="C42" s="697">
        <v>1.1000000000000001E-3</v>
      </c>
      <c r="D42" s="117">
        <f>(0.000003)*$H$7/1000</f>
        <v>4.2001499999999997E-10</v>
      </c>
      <c r="E42" s="698">
        <f t="shared" si="18"/>
        <v>9.8676470588235292E-5</v>
      </c>
      <c r="F42" s="692">
        <f t="shared" si="19"/>
        <v>5.3921568627450987E-6</v>
      </c>
      <c r="G42" s="117">
        <f t="shared" si="13"/>
        <v>1.5000000000000003E-11</v>
      </c>
      <c r="H42" s="704">
        <f t="shared" si="20"/>
        <v>5.3921568627450978E-6</v>
      </c>
      <c r="I42" s="697">
        <f t="shared" si="21"/>
        <v>2.3617647058823532E-5</v>
      </c>
      <c r="J42" s="117">
        <f t="shared" si="15"/>
        <v>6.5700000000000016E-11</v>
      </c>
      <c r="K42" s="698">
        <f t="shared" si="22"/>
        <v>2.3617647058823529E-5</v>
      </c>
      <c r="L42" s="709">
        <f t="shared" si="5"/>
        <v>5.3921568627450987E-6</v>
      </c>
      <c r="M42" s="158">
        <f t="shared" si="17"/>
        <v>2.3617647058823532E-5</v>
      </c>
      <c r="N42" s="340">
        <f t="shared" si="6"/>
        <v>2.3617647058823532E-5</v>
      </c>
      <c r="O42" s="122"/>
      <c r="Q42" s="150"/>
    </row>
    <row r="43" spans="1:19" s="124" customFormat="1" x14ac:dyDescent="0.2">
      <c r="A43" s="951"/>
      <c r="B43" s="687" t="s">
        <v>140</v>
      </c>
      <c r="C43" s="697">
        <v>1.4E-3</v>
      </c>
      <c r="D43" s="117">
        <f>(0.000003)*$H$7/1000</f>
        <v>4.2001499999999997E-10</v>
      </c>
      <c r="E43" s="698">
        <f t="shared" si="18"/>
        <v>1.2558823529411765E-4</v>
      </c>
      <c r="F43" s="692">
        <f t="shared" si="19"/>
        <v>6.8627450980392154E-6</v>
      </c>
      <c r="G43" s="117">
        <f t="shared" si="13"/>
        <v>1.5000000000000003E-11</v>
      </c>
      <c r="H43" s="704">
        <f t="shared" si="20"/>
        <v>6.8627450980392154E-6</v>
      </c>
      <c r="I43" s="697">
        <f t="shared" si="21"/>
        <v>3.0058823529411764E-5</v>
      </c>
      <c r="J43" s="117">
        <f t="shared" si="15"/>
        <v>6.5700000000000016E-11</v>
      </c>
      <c r="K43" s="698">
        <f t="shared" si="22"/>
        <v>3.0058823529411764E-5</v>
      </c>
      <c r="L43" s="709">
        <f t="shared" si="5"/>
        <v>6.8627450980392154E-6</v>
      </c>
      <c r="M43" s="158">
        <f t="shared" si="17"/>
        <v>3.0058823529411764E-5</v>
      </c>
      <c r="N43" s="340">
        <f t="shared" si="6"/>
        <v>3.0058823529411764E-5</v>
      </c>
      <c r="O43" s="122"/>
      <c r="Q43" s="150"/>
    </row>
    <row r="44" spans="1:19" s="124" customFormat="1" x14ac:dyDescent="0.2">
      <c r="A44" s="951"/>
      <c r="B44" s="687" t="s">
        <v>141</v>
      </c>
      <c r="C44" s="697">
        <v>8.3999999999999995E-5</v>
      </c>
      <c r="D44" s="117"/>
      <c r="E44" s="698">
        <f t="shared" si="18"/>
        <v>7.535294117647058E-6</v>
      </c>
      <c r="F44" s="692">
        <f t="shared" si="19"/>
        <v>4.1176470588235289E-7</v>
      </c>
      <c r="G44" s="117"/>
      <c r="H44" s="704">
        <f t="shared" si="20"/>
        <v>4.1176470588235289E-7</v>
      </c>
      <c r="I44" s="697">
        <f t="shared" si="21"/>
        <v>1.8035294117647058E-6</v>
      </c>
      <c r="J44" s="117"/>
      <c r="K44" s="698">
        <f t="shared" si="22"/>
        <v>1.8035294117647058E-6</v>
      </c>
      <c r="L44" s="709">
        <f t="shared" ref="L44:L62" si="23">MAX(F44:H44)</f>
        <v>4.1176470588235289E-7</v>
      </c>
      <c r="M44" s="158">
        <f t="shared" si="17"/>
        <v>1.8035294117647058E-6</v>
      </c>
      <c r="N44" s="340">
        <f t="shared" ref="N44:N61" si="24">MAX(I44:K44)</f>
        <v>1.8035294117647058E-6</v>
      </c>
      <c r="O44" s="323"/>
      <c r="Q44" s="150"/>
    </row>
    <row r="45" spans="1:19" s="124" customFormat="1" x14ac:dyDescent="0.2">
      <c r="A45" s="951"/>
      <c r="B45" s="687" t="s">
        <v>142</v>
      </c>
      <c r="C45" s="697">
        <v>3.8000000000000002E-4</v>
      </c>
      <c r="D45" s="117">
        <f>(0.000006)*$H$7/1000</f>
        <v>8.4002999999999994E-10</v>
      </c>
      <c r="E45" s="698">
        <f t="shared" si="18"/>
        <v>3.4088235294117648E-5</v>
      </c>
      <c r="F45" s="692">
        <f t="shared" si="19"/>
        <v>1.8627450980392158E-6</v>
      </c>
      <c r="G45" s="117">
        <f>D45*$B$7</f>
        <v>3.0000000000000006E-11</v>
      </c>
      <c r="H45" s="704">
        <f t="shared" si="20"/>
        <v>1.8627450980392156E-6</v>
      </c>
      <c r="I45" s="697">
        <f t="shared" si="21"/>
        <v>8.1588235294117654E-6</v>
      </c>
      <c r="J45" s="117">
        <f t="shared" ref="J45:J62" si="25">G45*8760/2000*H$6</f>
        <v>1.3140000000000003E-10</v>
      </c>
      <c r="K45" s="698">
        <f t="shared" si="22"/>
        <v>8.1588235294117637E-6</v>
      </c>
      <c r="L45" s="709">
        <f t="shared" si="23"/>
        <v>1.8627450980392158E-6</v>
      </c>
      <c r="M45" s="158">
        <f t="shared" si="17"/>
        <v>8.1588235294117654E-6</v>
      </c>
      <c r="N45" s="340">
        <f t="shared" si="24"/>
        <v>8.1588235294117654E-6</v>
      </c>
      <c r="O45" s="323"/>
      <c r="P45" s="323"/>
      <c r="Q45" s="323"/>
    </row>
    <row r="46" spans="1:19" s="124" customFormat="1" x14ac:dyDescent="0.2">
      <c r="A46" s="951"/>
      <c r="B46" s="687" t="s">
        <v>143</v>
      </c>
      <c r="C46" s="699">
        <v>2.5999999999999998E-4</v>
      </c>
      <c r="D46" s="117">
        <f>(0.000003)*$H$7/1000</f>
        <v>4.2001499999999997E-10</v>
      </c>
      <c r="E46" s="698">
        <f t="shared" si="18"/>
        <v>2.3323529411764705E-5</v>
      </c>
      <c r="F46" s="692">
        <f t="shared" si="19"/>
        <v>1.2745098039215686E-6</v>
      </c>
      <c r="G46" s="117">
        <f>D46*$B$7</f>
        <v>1.5000000000000003E-11</v>
      </c>
      <c r="H46" s="704">
        <f t="shared" si="20"/>
        <v>1.2745098039215686E-6</v>
      </c>
      <c r="I46" s="697">
        <f t="shared" si="21"/>
        <v>5.5823529411764704E-6</v>
      </c>
      <c r="J46" s="117">
        <f t="shared" si="25"/>
        <v>6.5700000000000016E-11</v>
      </c>
      <c r="K46" s="698">
        <f t="shared" si="22"/>
        <v>5.5823529411764704E-6</v>
      </c>
      <c r="L46" s="709">
        <f t="shared" si="23"/>
        <v>1.2745098039215686E-6</v>
      </c>
      <c r="M46" s="162">
        <f t="shared" si="17"/>
        <v>5.5823529411764704E-6</v>
      </c>
      <c r="N46" s="340">
        <f t="shared" si="24"/>
        <v>5.5823529411764704E-6</v>
      </c>
      <c r="O46" s="122"/>
      <c r="P46" s="119"/>
      <c r="Q46" s="151"/>
    </row>
    <row r="47" spans="1:19" s="124" customFormat="1" x14ac:dyDescent="0.2">
      <c r="A47" s="951"/>
      <c r="B47" s="687" t="s">
        <v>144</v>
      </c>
      <c r="C47" s="697">
        <v>2.0999999999999999E-3</v>
      </c>
      <c r="D47" s="117">
        <f>(0.000003)*$H$7/1000</f>
        <v>4.2001499999999997E-10</v>
      </c>
      <c r="E47" s="698">
        <f t="shared" si="18"/>
        <v>1.8838235294117646E-4</v>
      </c>
      <c r="F47" s="692">
        <f t="shared" si="19"/>
        <v>1.0294117647058823E-5</v>
      </c>
      <c r="G47" s="117">
        <f>D47*$B$7</f>
        <v>1.5000000000000003E-11</v>
      </c>
      <c r="H47" s="704">
        <f t="shared" si="20"/>
        <v>1.0294117647058823E-5</v>
      </c>
      <c r="I47" s="697">
        <f t="shared" si="21"/>
        <v>4.5088235294117644E-5</v>
      </c>
      <c r="J47" s="117">
        <f t="shared" si="25"/>
        <v>6.5700000000000016E-11</v>
      </c>
      <c r="K47" s="698">
        <f t="shared" si="22"/>
        <v>4.5088235294117644E-5</v>
      </c>
      <c r="L47" s="709">
        <f t="shared" si="23"/>
        <v>1.0294117647058823E-5</v>
      </c>
      <c r="M47" s="158">
        <f t="shared" si="17"/>
        <v>4.5088235294117644E-5</v>
      </c>
      <c r="N47" s="340">
        <f t="shared" si="24"/>
        <v>4.5088235294117644E-5</v>
      </c>
      <c r="O47" s="122"/>
      <c r="Q47" s="150"/>
      <c r="S47" s="615" t="s">
        <v>600</v>
      </c>
    </row>
    <row r="48" spans="1:19" s="124" customFormat="1" x14ac:dyDescent="0.2">
      <c r="A48" s="951"/>
      <c r="B48" s="687" t="s">
        <v>145</v>
      </c>
      <c r="C48" s="697">
        <v>2.4000000000000001E-5</v>
      </c>
      <c r="D48" s="117">
        <f>(0.000015)*$H$7/1000</f>
        <v>2.1000750000000001E-9</v>
      </c>
      <c r="E48" s="698">
        <f t="shared" si="18"/>
        <v>2.1529411764705878E-6</v>
      </c>
      <c r="F48" s="692">
        <f t="shared" si="19"/>
        <v>1.1764705882352942E-7</v>
      </c>
      <c r="G48" s="117">
        <f>D48*$B$7</f>
        <v>7.5000000000000025E-11</v>
      </c>
      <c r="H48" s="704">
        <f t="shared" si="20"/>
        <v>1.1764705882352939E-7</v>
      </c>
      <c r="I48" s="697">
        <f t="shared" si="21"/>
        <v>5.1529411764705885E-7</v>
      </c>
      <c r="J48" s="117">
        <f t="shared" si="25"/>
        <v>3.2850000000000011E-10</v>
      </c>
      <c r="K48" s="698">
        <f t="shared" si="22"/>
        <v>5.1529411764705875E-7</v>
      </c>
      <c r="L48" s="709">
        <f t="shared" si="23"/>
        <v>1.1764705882352942E-7</v>
      </c>
      <c r="M48" s="158">
        <f>L48*8760/2000</f>
        <v>5.1529411764705885E-7</v>
      </c>
      <c r="N48" s="340">
        <f t="shared" si="24"/>
        <v>5.1529411764705885E-7</v>
      </c>
      <c r="S48" s="615" t="s">
        <v>599</v>
      </c>
    </row>
    <row r="49" spans="1:19" s="124" customFormat="1" x14ac:dyDescent="0.2">
      <c r="A49" s="951"/>
      <c r="B49" s="689" t="s">
        <v>146</v>
      </c>
      <c r="C49" s="697"/>
      <c r="D49" s="117"/>
      <c r="E49" s="700"/>
      <c r="F49" s="167">
        <f>SUM(F12:F48)</f>
        <v>9.2605735294117638E-3</v>
      </c>
      <c r="G49" s="107">
        <f>SUM(G12:G48)</f>
        <v>1.4647569229741795E-3</v>
      </c>
      <c r="H49" s="705">
        <f>SUM(H12:H48)</f>
        <v>9.2605735294117638E-3</v>
      </c>
      <c r="I49" s="660">
        <f t="shared" si="21"/>
        <v>4.0561312058823525E-2</v>
      </c>
      <c r="J49" s="107">
        <f t="shared" si="25"/>
        <v>6.4156353226269064E-3</v>
      </c>
      <c r="K49" s="657">
        <f t="shared" si="22"/>
        <v>4.0561312058823525E-2</v>
      </c>
      <c r="L49" s="710">
        <f t="shared" si="23"/>
        <v>9.2605735294117638E-3</v>
      </c>
      <c r="M49" s="157">
        <f>L49*8760/2000</f>
        <v>4.0561312058823525E-2</v>
      </c>
      <c r="N49" s="341">
        <f t="shared" si="24"/>
        <v>4.0561312058823525E-2</v>
      </c>
      <c r="O49" s="424"/>
      <c r="Q49" s="424"/>
      <c r="S49" s="778">
        <f>N49-'Combustion (Existing Calcs)'!I111</f>
        <v>7.3000000000003618E-5</v>
      </c>
    </row>
    <row r="50" spans="1:19" s="124" customFormat="1" x14ac:dyDescent="0.2">
      <c r="A50" s="951"/>
      <c r="B50" s="689" t="s">
        <v>147</v>
      </c>
      <c r="C50" s="697">
        <v>5.0000000000000001E-4</v>
      </c>
      <c r="D50" s="117">
        <f>(0.000009)*$H$7/1000</f>
        <v>1.2600450000000001E-9</v>
      </c>
      <c r="E50" s="698">
        <f>C50/$H$8*$H$9*1000</f>
        <v>4.4852941176470591E-5</v>
      </c>
      <c r="F50" s="692">
        <f t="shared" ref="F50:F60" si="26">C50*$B$8</f>
        <v>2.4509803921568628E-6</v>
      </c>
      <c r="G50" s="117">
        <f t="shared" ref="G50:G60" si="27">D50*$B$7</f>
        <v>4.5000000000000013E-11</v>
      </c>
      <c r="H50" s="704">
        <f>E50*$B$9</f>
        <v>2.4509803921568628E-6</v>
      </c>
      <c r="I50" s="697">
        <f t="shared" si="21"/>
        <v>1.073529411764706E-5</v>
      </c>
      <c r="J50" s="117">
        <f t="shared" si="25"/>
        <v>1.9710000000000007E-10</v>
      </c>
      <c r="K50" s="698">
        <f t="shared" si="22"/>
        <v>1.073529411764706E-5</v>
      </c>
      <c r="L50" s="709">
        <f t="shared" si="23"/>
        <v>2.4509803921568628E-6</v>
      </c>
      <c r="M50" s="158">
        <f>L50*8760/2000</f>
        <v>1.073529411764706E-5</v>
      </c>
      <c r="N50" s="342">
        <f t="shared" si="24"/>
        <v>1.073529411764706E-5</v>
      </c>
      <c r="O50" s="150"/>
      <c r="Q50" s="150"/>
      <c r="S50" s="778">
        <f>N50-'Combustion (Existing Calcs)'!I112</f>
        <v>0</v>
      </c>
    </row>
    <row r="51" spans="1:19" s="124" customFormat="1" x14ac:dyDescent="0.2">
      <c r="A51" s="951"/>
      <c r="B51" s="689" t="s">
        <v>148</v>
      </c>
      <c r="C51" s="697">
        <v>7.6</v>
      </c>
      <c r="D51" s="117">
        <f>2+1.3</f>
        <v>3.3</v>
      </c>
      <c r="E51" s="701">
        <v>0.7</v>
      </c>
      <c r="F51" s="693">
        <f t="shared" si="26"/>
        <v>3.7254901960784313E-2</v>
      </c>
      <c r="G51" s="423">
        <f t="shared" si="27"/>
        <v>0.11785293382379203</v>
      </c>
      <c r="H51" s="706">
        <f t="shared" ref="H51:H60" si="28">E51*$B$9</f>
        <v>3.8251366120218573E-2</v>
      </c>
      <c r="I51" s="660">
        <f t="shared" si="21"/>
        <v>0.16317647058823531</v>
      </c>
      <c r="J51" s="107">
        <f t="shared" si="25"/>
        <v>0.51619585014820901</v>
      </c>
      <c r="K51" s="657">
        <f t="shared" si="22"/>
        <v>0.16754098360655734</v>
      </c>
      <c r="L51" s="710">
        <f>MAX(F51:H51)</f>
        <v>0.11785293382379203</v>
      </c>
      <c r="M51" s="157">
        <f>L51*8760/2000</f>
        <v>0.51619585014820901</v>
      </c>
      <c r="N51" s="341">
        <f t="shared" si="24"/>
        <v>0.51619585014820901</v>
      </c>
      <c r="O51" s="424"/>
      <c r="Q51" s="424"/>
      <c r="S51" s="778">
        <f>N51-'Combustion (Existing Calcs)'!I113</f>
        <v>0</v>
      </c>
    </row>
    <row r="52" spans="1:19" s="124" customFormat="1" ht="14.25" x14ac:dyDescent="0.25">
      <c r="A52" s="951"/>
      <c r="B52" s="689" t="s">
        <v>8</v>
      </c>
      <c r="C52" s="697">
        <v>7.6</v>
      </c>
      <c r="D52" s="117">
        <f>1+1.3</f>
        <v>2.2999999999999998</v>
      </c>
      <c r="E52" s="698">
        <v>0.7</v>
      </c>
      <c r="F52" s="693">
        <f t="shared" si="26"/>
        <v>3.7254901960784313E-2</v>
      </c>
      <c r="G52" s="423">
        <f t="shared" si="27"/>
        <v>8.2139923574158072E-2</v>
      </c>
      <c r="H52" s="706">
        <f t="shared" si="28"/>
        <v>3.8251366120218573E-2</v>
      </c>
      <c r="I52" s="660">
        <f t="shared" si="21"/>
        <v>0.16317647058823531</v>
      </c>
      <c r="J52" s="107">
        <f t="shared" si="25"/>
        <v>0.35977286525481234</v>
      </c>
      <c r="K52" s="657">
        <f t="shared" si="22"/>
        <v>0.16754098360655734</v>
      </c>
      <c r="L52" s="710">
        <f t="shared" si="23"/>
        <v>8.2139923574158072E-2</v>
      </c>
      <c r="M52" s="157">
        <f t="shared" ref="M52:M55" si="29">L52*8760/2000</f>
        <v>0.35977286525481234</v>
      </c>
      <c r="N52" s="341">
        <f t="shared" si="24"/>
        <v>0.35977286525481234</v>
      </c>
      <c r="O52" s="424"/>
      <c r="Q52" s="424"/>
      <c r="S52" s="778">
        <f>N52-'Combustion (Existing Calcs)'!I114</f>
        <v>0</v>
      </c>
    </row>
    <row r="53" spans="1:19" s="124" customFormat="1" ht="14.25" x14ac:dyDescent="0.25">
      <c r="A53" s="951"/>
      <c r="B53" s="689" t="s">
        <v>7</v>
      </c>
      <c r="C53" s="697">
        <v>7.6</v>
      </c>
      <c r="D53" s="117">
        <f>0.25+1.3</f>
        <v>1.55</v>
      </c>
      <c r="E53" s="698">
        <v>0.7</v>
      </c>
      <c r="F53" s="693">
        <f t="shared" si="26"/>
        <v>3.7254901960784313E-2</v>
      </c>
      <c r="G53" s="423">
        <f t="shared" si="27"/>
        <v>5.5355165886932622E-2</v>
      </c>
      <c r="H53" s="706">
        <f t="shared" si="28"/>
        <v>3.8251366120218573E-2</v>
      </c>
      <c r="I53" s="660">
        <f t="shared" si="21"/>
        <v>0.16317647058823531</v>
      </c>
      <c r="J53" s="107">
        <f t="shared" si="25"/>
        <v>0.24245562658476491</v>
      </c>
      <c r="K53" s="657">
        <f t="shared" si="22"/>
        <v>0.16754098360655734</v>
      </c>
      <c r="L53" s="710">
        <f t="shared" si="23"/>
        <v>5.5355165886932622E-2</v>
      </c>
      <c r="M53" s="157">
        <f t="shared" si="29"/>
        <v>0.24245562658476491</v>
      </c>
      <c r="N53" s="341">
        <f t="shared" si="24"/>
        <v>0.24245562658476491</v>
      </c>
      <c r="O53" s="424"/>
      <c r="Q53" s="424"/>
      <c r="S53" s="778">
        <f>N53-'Combustion (Existing Calcs)'!I115</f>
        <v>0</v>
      </c>
    </row>
    <row r="54" spans="1:19" s="124" customFormat="1" ht="14.25" x14ac:dyDescent="0.25">
      <c r="A54" s="951"/>
      <c r="B54" s="689" t="s">
        <v>220</v>
      </c>
      <c r="C54" s="697">
        <v>0.6</v>
      </c>
      <c r="D54" s="117">
        <f>142*L7</f>
        <v>7.1000000000000005</v>
      </c>
      <c r="E54" s="701">
        <f>0.1*L9</f>
        <v>1.5</v>
      </c>
      <c r="F54" s="694">
        <f t="shared" si="26"/>
        <v>2.9411764705882353E-3</v>
      </c>
      <c r="G54" s="90">
        <f t="shared" si="27"/>
        <v>0.25356237277240107</v>
      </c>
      <c r="H54" s="705">
        <f t="shared" si="28"/>
        <v>8.1967213114754092E-2</v>
      </c>
      <c r="I54" s="714">
        <f t="shared" si="21"/>
        <v>1.2882352941176472E-2</v>
      </c>
      <c r="J54" s="335">
        <f t="shared" si="25"/>
        <v>1.1106031927431168</v>
      </c>
      <c r="K54" s="657">
        <f t="shared" si="22"/>
        <v>0.35901639344262293</v>
      </c>
      <c r="L54" s="711">
        <f t="shared" si="23"/>
        <v>0.25356237277240107</v>
      </c>
      <c r="M54" s="161">
        <f t="shared" si="29"/>
        <v>1.1106031927431168</v>
      </c>
      <c r="N54" s="341">
        <f t="shared" si="24"/>
        <v>1.1106031927431168</v>
      </c>
      <c r="O54" s="424"/>
      <c r="Q54" s="424"/>
      <c r="S54" s="778">
        <f>N54-'Combustion (Existing Calcs)'!I116</f>
        <v>-9.9954287346880495</v>
      </c>
    </row>
    <row r="55" spans="1:19" s="124" customFormat="1" x14ac:dyDescent="0.2">
      <c r="A55" s="951"/>
      <c r="B55" s="689" t="s">
        <v>152</v>
      </c>
      <c r="C55" s="697">
        <v>100</v>
      </c>
      <c r="D55" s="117">
        <v>20</v>
      </c>
      <c r="E55" s="698">
        <v>13</v>
      </c>
      <c r="F55" s="167">
        <f t="shared" si="26"/>
        <v>0.49019607843137253</v>
      </c>
      <c r="G55" s="107">
        <f t="shared" si="27"/>
        <v>0.71426020499267895</v>
      </c>
      <c r="H55" s="705">
        <f t="shared" si="28"/>
        <v>0.7103825136612022</v>
      </c>
      <c r="I55" s="714">
        <f t="shared" si="21"/>
        <v>2.1470588235294117</v>
      </c>
      <c r="J55" s="335">
        <f t="shared" si="25"/>
        <v>3.1284596978679335</v>
      </c>
      <c r="K55" s="657">
        <f t="shared" si="22"/>
        <v>3.1114754098360655</v>
      </c>
      <c r="L55" s="711">
        <f t="shared" si="23"/>
        <v>0.71426020499267895</v>
      </c>
      <c r="M55" s="161">
        <f t="shared" si="29"/>
        <v>3.1284596978679335</v>
      </c>
      <c r="N55" s="341">
        <f t="shared" si="24"/>
        <v>3.1284596978679335</v>
      </c>
      <c r="O55" s="424"/>
      <c r="Q55" s="424"/>
      <c r="S55" s="778">
        <f>N55-'Combustion (Existing Calcs)'!I117</f>
        <v>0</v>
      </c>
    </row>
    <row r="56" spans="1:19" s="124" customFormat="1" x14ac:dyDescent="0.2">
      <c r="A56" s="951"/>
      <c r="B56" s="689" t="s">
        <v>6</v>
      </c>
      <c r="C56" s="697">
        <v>5.5</v>
      </c>
      <c r="D56" s="117">
        <v>0.34</v>
      </c>
      <c r="E56" s="698">
        <f>1-0.2</f>
        <v>0.8</v>
      </c>
      <c r="F56" s="167">
        <f t="shared" si="26"/>
        <v>2.6960784313725492E-2</v>
      </c>
      <c r="G56" s="107">
        <f t="shared" si="27"/>
        <v>1.2142423484875544E-2</v>
      </c>
      <c r="H56" s="705">
        <f t="shared" si="28"/>
        <v>4.3715846994535519E-2</v>
      </c>
      <c r="I56" s="714">
        <f t="shared" si="21"/>
        <v>0.11808823529411765</v>
      </c>
      <c r="J56" s="335">
        <f t="shared" si="25"/>
        <v>5.3183814863754883E-2</v>
      </c>
      <c r="K56" s="657">
        <f t="shared" si="22"/>
        <v>0.19147540983606559</v>
      </c>
      <c r="L56" s="711">
        <f t="shared" si="23"/>
        <v>4.3715846994535519E-2</v>
      </c>
      <c r="M56" s="161">
        <f>L56*8760/2000</f>
        <v>0.19147540983606559</v>
      </c>
      <c r="N56" s="341">
        <f t="shared" si="24"/>
        <v>0.19147540983606559</v>
      </c>
      <c r="O56" s="424"/>
      <c r="Q56" s="424"/>
      <c r="S56" s="778">
        <f>N56-'Combustion (Existing Calcs)'!I118</f>
        <v>7.3387174541947944E-2</v>
      </c>
    </row>
    <row r="57" spans="1:19" s="124" customFormat="1" x14ac:dyDescent="0.2">
      <c r="A57" s="951"/>
      <c r="B57" s="689" t="s">
        <v>189</v>
      </c>
      <c r="C57" s="697">
        <v>84</v>
      </c>
      <c r="D57" s="120">
        <v>5</v>
      </c>
      <c r="E57" s="698">
        <v>7.5</v>
      </c>
      <c r="F57" s="167">
        <f t="shared" si="26"/>
        <v>0.41176470588235292</v>
      </c>
      <c r="G57" s="107">
        <f t="shared" si="27"/>
        <v>0.17856505124816974</v>
      </c>
      <c r="H57" s="705">
        <f t="shared" si="28"/>
        <v>0.4098360655737705</v>
      </c>
      <c r="I57" s="714">
        <f t="shared" si="21"/>
        <v>1.8035294117647058</v>
      </c>
      <c r="J57" s="335">
        <f t="shared" si="25"/>
        <v>0.78211492446698339</v>
      </c>
      <c r="K57" s="657">
        <f t="shared" si="22"/>
        <v>1.7950819672131146</v>
      </c>
      <c r="L57" s="711">
        <f t="shared" si="23"/>
        <v>0.41176470588235292</v>
      </c>
      <c r="M57" s="161">
        <f t="shared" ref="M57" si="30">L57*8760/2000</f>
        <v>1.8035294117647058</v>
      </c>
      <c r="N57" s="341">
        <f t="shared" si="24"/>
        <v>1.8035294117647058</v>
      </c>
      <c r="O57" s="424"/>
      <c r="Q57" s="424"/>
      <c r="S57" s="778">
        <f>N57-'Combustion (Existing Calcs)'!I119</f>
        <v>0</v>
      </c>
    </row>
    <row r="58" spans="1:19" s="124" customFormat="1" ht="14.25" x14ac:dyDescent="0.25">
      <c r="A58" s="951"/>
      <c r="B58" s="689" t="s">
        <v>237</v>
      </c>
      <c r="C58" s="697">
        <v>120000</v>
      </c>
      <c r="D58" s="117">
        <v>22300</v>
      </c>
      <c r="E58" s="698">
        <v>12500</v>
      </c>
      <c r="F58" s="695">
        <f t="shared" si="26"/>
        <v>588.23529411764707</v>
      </c>
      <c r="G58" s="321">
        <f t="shared" si="27"/>
        <v>796.40012856683711</v>
      </c>
      <c r="H58" s="707">
        <f t="shared" si="28"/>
        <v>683.06010928961746</v>
      </c>
      <c r="I58" s="715">
        <f t="shared" si="21"/>
        <v>2576.4705882352941</v>
      </c>
      <c r="J58" s="321">
        <f t="shared" si="25"/>
        <v>3488.2325631227463</v>
      </c>
      <c r="K58" s="716">
        <f t="shared" si="22"/>
        <v>2991.8032786885242</v>
      </c>
      <c r="L58" s="712">
        <f t="shared" si="23"/>
        <v>796.40012856683711</v>
      </c>
      <c r="M58" s="159">
        <f>L58*8760/2000</f>
        <v>3488.2325631227463</v>
      </c>
      <c r="N58" s="343">
        <f t="shared" si="24"/>
        <v>3488.2325631227463</v>
      </c>
      <c r="O58" s="424"/>
      <c r="Q58" s="424"/>
      <c r="S58" s="778">
        <f>N58-'Combustion (Existing Calcs)'!I120</f>
        <v>0</v>
      </c>
    </row>
    <row r="59" spans="1:19" s="124" customFormat="1" ht="14.25" x14ac:dyDescent="0.25">
      <c r="A59" s="951"/>
      <c r="B59" s="689" t="s">
        <v>238</v>
      </c>
      <c r="C59" s="697">
        <v>2.2999999999999998</v>
      </c>
      <c r="D59" s="117">
        <v>5.1999999999999998E-2</v>
      </c>
      <c r="E59" s="698">
        <v>0.2</v>
      </c>
      <c r="F59" s="167">
        <f t="shared" si="26"/>
        <v>1.1274509803921567E-2</v>
      </c>
      <c r="G59" s="107">
        <f t="shared" si="27"/>
        <v>1.8570765329809652E-3</v>
      </c>
      <c r="H59" s="705">
        <f t="shared" si="28"/>
        <v>1.092896174863388E-2</v>
      </c>
      <c r="I59" s="660">
        <f t="shared" si="21"/>
        <v>4.9382352941176461E-2</v>
      </c>
      <c r="J59" s="107">
        <f t="shared" si="25"/>
        <v>8.1339952144566276E-3</v>
      </c>
      <c r="K59" s="657">
        <f t="shared" si="22"/>
        <v>4.7868852459016398E-2</v>
      </c>
      <c r="L59" s="710">
        <f t="shared" si="23"/>
        <v>1.1274509803921567E-2</v>
      </c>
      <c r="M59" s="157">
        <f t="shared" ref="M59:M62" si="31">L59*8760/2000</f>
        <v>4.9382352941176461E-2</v>
      </c>
      <c r="N59" s="341">
        <f t="shared" si="24"/>
        <v>4.9382352941176461E-2</v>
      </c>
      <c r="O59" s="424"/>
      <c r="Q59" s="150"/>
      <c r="S59" s="778">
        <f>N59-'Combustion (Existing Calcs)'!I121</f>
        <v>0</v>
      </c>
    </row>
    <row r="60" spans="1:19" s="124" customFormat="1" ht="14.25" x14ac:dyDescent="0.25">
      <c r="A60" s="951"/>
      <c r="B60" s="689" t="s">
        <v>239</v>
      </c>
      <c r="C60" s="697">
        <v>2.2000000000000002</v>
      </c>
      <c r="D60" s="117">
        <v>0.26</v>
      </c>
      <c r="E60" s="698">
        <v>0.9</v>
      </c>
      <c r="F60" s="167">
        <f t="shared" si="26"/>
        <v>1.0784313725490198E-2</v>
      </c>
      <c r="G60" s="107">
        <f t="shared" si="27"/>
        <v>9.2853826649048274E-3</v>
      </c>
      <c r="H60" s="705">
        <f t="shared" si="28"/>
        <v>4.9180327868852458E-2</v>
      </c>
      <c r="I60" s="660">
        <f t="shared" si="21"/>
        <v>4.7235294117647063E-2</v>
      </c>
      <c r="J60" s="107">
        <f t="shared" si="25"/>
        <v>4.0669976072283141E-2</v>
      </c>
      <c r="K60" s="657">
        <f t="shared" si="22"/>
        <v>0.21540983606557376</v>
      </c>
      <c r="L60" s="710">
        <f t="shared" si="23"/>
        <v>4.9180327868852458E-2</v>
      </c>
      <c r="M60" s="157">
        <f t="shared" si="31"/>
        <v>0.21540983606557376</v>
      </c>
      <c r="N60" s="341">
        <f t="shared" si="24"/>
        <v>0.21540983606557376</v>
      </c>
      <c r="O60" s="424"/>
      <c r="Q60" s="150"/>
      <c r="S60" s="778">
        <f>N60-'Combustion (Existing Calcs)'!I122</f>
        <v>0.16817454194792669</v>
      </c>
    </row>
    <row r="61" spans="1:19" s="124" customFormat="1" x14ac:dyDescent="0.2">
      <c r="A61" s="951"/>
      <c r="B61" s="689" t="s">
        <v>158</v>
      </c>
      <c r="C61" s="697"/>
      <c r="D61" s="117"/>
      <c r="E61" s="698"/>
      <c r="F61" s="695">
        <f>SUM(F58:F60)</f>
        <v>588.25735294117646</v>
      </c>
      <c r="G61" s="321">
        <f>SUM(G58:G60)</f>
        <v>796.41127102603491</v>
      </c>
      <c r="H61" s="707">
        <f>SUM(H58:H60)</f>
        <v>683.12021857923492</v>
      </c>
      <c r="I61" s="715">
        <f t="shared" si="21"/>
        <v>2576.5672058823529</v>
      </c>
      <c r="J61" s="321">
        <f t="shared" si="25"/>
        <v>3488.2813670940332</v>
      </c>
      <c r="K61" s="716">
        <f t="shared" si="22"/>
        <v>2992.0665573770489</v>
      </c>
      <c r="L61" s="712">
        <f t="shared" si="23"/>
        <v>796.41127102603491</v>
      </c>
      <c r="M61" s="159">
        <f t="shared" si="31"/>
        <v>3488.2813670940332</v>
      </c>
      <c r="N61" s="343">
        <f t="shared" si="24"/>
        <v>3488.2813670940332</v>
      </c>
      <c r="O61" s="424"/>
      <c r="Q61" s="153"/>
      <c r="S61" s="778">
        <f>N61-'Combustion (Existing Calcs)'!I123</f>
        <v>-4.7813675772431452E-2</v>
      </c>
    </row>
    <row r="62" spans="1:19" s="124" customFormat="1" ht="15" thickBot="1" x14ac:dyDescent="0.3">
      <c r="A62" s="952"/>
      <c r="B62" s="690" t="s">
        <v>320</v>
      </c>
      <c r="C62" s="702"/>
      <c r="D62" s="344"/>
      <c r="E62" s="703"/>
      <c r="F62" s="696">
        <f>F58+(F59*25)+(F60*298)</f>
        <v>591.73088235294119</v>
      </c>
      <c r="G62" s="345">
        <f>G58+(G59*25)+(G60*298)</f>
        <v>799.21359951430338</v>
      </c>
      <c r="H62" s="708">
        <f>H58+(H59*25)+(H60*298)</f>
        <v>697.98907103825127</v>
      </c>
      <c r="I62" s="717">
        <f t="shared" si="21"/>
        <v>2591.7812647058822</v>
      </c>
      <c r="J62" s="345">
        <f t="shared" si="25"/>
        <v>3500.5555658726489</v>
      </c>
      <c r="K62" s="718">
        <f t="shared" si="22"/>
        <v>3057.1921311475407</v>
      </c>
      <c r="L62" s="713">
        <f t="shared" si="23"/>
        <v>799.21359951430338</v>
      </c>
      <c r="M62" s="346">
        <f t="shared" si="31"/>
        <v>3500.5555658726489</v>
      </c>
      <c r="N62" s="347">
        <f>MAX(I62:K62)</f>
        <v>3500.5555658726489</v>
      </c>
      <c r="O62" s="424"/>
      <c r="Q62" s="424"/>
      <c r="S62" s="778">
        <f>N62-'Combustion (Existing Calcs)'!I124</f>
        <v>-2.9876737206855069</v>
      </c>
    </row>
    <row r="63" spans="1:19" s="124" customFormat="1" ht="27" customHeight="1" x14ac:dyDescent="0.2">
      <c r="A63" s="956" t="s">
        <v>608</v>
      </c>
      <c r="B63" s="956"/>
      <c r="C63" s="956"/>
      <c r="D63" s="956"/>
      <c r="E63" s="956"/>
      <c r="F63" s="956"/>
      <c r="G63" s="956"/>
      <c r="H63" s="956"/>
      <c r="I63" s="956"/>
      <c r="J63" s="956"/>
      <c r="K63" s="956"/>
      <c r="L63" s="956"/>
      <c r="M63" s="956"/>
      <c r="N63" s="956"/>
    </row>
    <row r="64" spans="1:19" s="124" customFormat="1" ht="15" customHeight="1" x14ac:dyDescent="0.2">
      <c r="A64" s="447" t="s">
        <v>372</v>
      </c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69"/>
    </row>
    <row r="65" spans="1:18" s="119" customFormat="1" ht="18" x14ac:dyDescent="0.25">
      <c r="A65" s="953" t="s">
        <v>11</v>
      </c>
      <c r="B65" s="953"/>
      <c r="C65" s="953"/>
      <c r="D65" s="953"/>
      <c r="E65" s="953"/>
      <c r="F65" s="953"/>
      <c r="G65" s="953"/>
      <c r="H65" s="953"/>
      <c r="I65" s="953"/>
      <c r="J65" s="953"/>
      <c r="K65" s="953"/>
      <c r="L65" s="953"/>
      <c r="M65" s="953"/>
    </row>
    <row r="66" spans="1:18" s="119" customFormat="1" ht="15.75" x14ac:dyDescent="0.25">
      <c r="A66" s="949" t="s">
        <v>650</v>
      </c>
      <c r="B66" s="949"/>
      <c r="C66" s="949"/>
      <c r="D66" s="949"/>
      <c r="E66" s="949"/>
      <c r="F66" s="949"/>
      <c r="G66" s="949"/>
      <c r="H66" s="949"/>
      <c r="I66" s="949"/>
      <c r="J66" s="949"/>
      <c r="K66" s="949"/>
      <c r="L66" s="949"/>
      <c r="M66" s="949"/>
    </row>
    <row r="67" spans="1:18" s="119" customFormat="1" ht="15.75" x14ac:dyDescent="0.25">
      <c r="A67" s="949" t="s">
        <v>234</v>
      </c>
      <c r="B67" s="949"/>
      <c r="C67" s="949"/>
      <c r="D67" s="949"/>
      <c r="E67" s="949"/>
      <c r="F67" s="949"/>
      <c r="G67" s="949"/>
      <c r="H67" s="949"/>
      <c r="I67" s="949"/>
      <c r="J67" s="949"/>
      <c r="K67" s="949"/>
      <c r="L67" s="949"/>
      <c r="M67" s="949"/>
    </row>
    <row r="68" spans="1:18" s="119" customFormat="1" ht="15.75" customHeight="1" x14ac:dyDescent="0.2">
      <c r="A68" s="147" t="s">
        <v>90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</row>
    <row r="69" spans="1:18" s="124" customFormat="1" x14ac:dyDescent="0.2">
      <c r="A69" s="119" t="s">
        <v>91</v>
      </c>
      <c r="B69" s="119">
        <v>17.579999999999998</v>
      </c>
      <c r="C69" s="119" t="s">
        <v>52</v>
      </c>
      <c r="D69" s="119"/>
      <c r="E69" s="165" t="s">
        <v>305</v>
      </c>
      <c r="F69" s="119"/>
      <c r="G69" s="119"/>
      <c r="H69" s="425">
        <v>1</v>
      </c>
      <c r="I69" s="119"/>
      <c r="J69" s="119"/>
      <c r="K69" s="119"/>
      <c r="L69" s="119"/>
      <c r="M69" s="119"/>
      <c r="N69" s="119"/>
      <c r="O69" s="119"/>
      <c r="P69" s="119"/>
      <c r="Q69" s="119"/>
      <c r="R69" s="119"/>
    </row>
    <row r="70" spans="1:18" s="124" customFormat="1" x14ac:dyDescent="0.2">
      <c r="A70" s="119" t="s">
        <v>96</v>
      </c>
      <c r="B70" s="354">
        <f>B69/H70/1000</f>
        <v>0.12556694403771293</v>
      </c>
      <c r="C70" s="119" t="s">
        <v>93</v>
      </c>
      <c r="D70" s="119"/>
      <c r="E70" s="119" t="s">
        <v>97</v>
      </c>
      <c r="F70" s="119"/>
      <c r="G70" s="119"/>
      <c r="H70" s="119">
        <f>140005/1000000</f>
        <v>0.14000499999999999</v>
      </c>
      <c r="I70" s="119" t="s">
        <v>95</v>
      </c>
      <c r="J70" s="119"/>
      <c r="K70" s="119" t="s">
        <v>226</v>
      </c>
      <c r="L70" s="149">
        <f>500/1000000*100</f>
        <v>0.05</v>
      </c>
      <c r="M70" s="119" t="s">
        <v>225</v>
      </c>
      <c r="N70" s="119"/>
      <c r="O70" s="119"/>
      <c r="P70" s="119"/>
      <c r="Q70" s="119"/>
      <c r="R70" s="119"/>
    </row>
    <row r="71" spans="1:18" s="124" customFormat="1" x14ac:dyDescent="0.2">
      <c r="A71" s="119" t="s">
        <v>98</v>
      </c>
      <c r="B71" s="354">
        <f>B69/H71</f>
        <v>1.7235294117647057E-2</v>
      </c>
      <c r="C71" s="119" t="s">
        <v>99</v>
      </c>
      <c r="D71" s="119"/>
      <c r="E71" s="119" t="s">
        <v>100</v>
      </c>
      <c r="F71" s="119"/>
      <c r="G71" s="119"/>
      <c r="H71" s="119">
        <v>1020</v>
      </c>
      <c r="I71" s="165" t="s">
        <v>53</v>
      </c>
      <c r="J71" s="119"/>
      <c r="K71" s="119"/>
      <c r="L71" s="119"/>
      <c r="M71" s="119"/>
      <c r="N71" s="119"/>
      <c r="O71" s="119"/>
      <c r="P71" s="119"/>
      <c r="Q71" s="119"/>
      <c r="R71" s="119"/>
    </row>
    <row r="72" spans="1:18" s="124" customFormat="1" ht="25.5" x14ac:dyDescent="0.2">
      <c r="A72" s="764" t="s">
        <v>592</v>
      </c>
      <c r="B72" s="769">
        <f>B69/H72/1000</f>
        <v>0.14063999999999999</v>
      </c>
      <c r="C72" s="323" t="s">
        <v>93</v>
      </c>
      <c r="D72" s="323"/>
      <c r="E72" s="748" t="s">
        <v>596</v>
      </c>
      <c r="F72" s="323"/>
      <c r="G72" s="323"/>
      <c r="H72" s="744">
        <v>0.125</v>
      </c>
      <c r="I72" s="323" t="s">
        <v>95</v>
      </c>
      <c r="J72" s="323"/>
      <c r="K72" s="323"/>
      <c r="L72" s="452"/>
      <c r="M72" s="323"/>
      <c r="N72" s="119"/>
      <c r="O72" s="119"/>
      <c r="P72" s="119"/>
      <c r="Q72" s="119"/>
      <c r="R72" s="119"/>
    </row>
    <row r="73" spans="1:18" s="124" customFormat="1" ht="25.5" x14ac:dyDescent="0.2">
      <c r="A73" s="764" t="s">
        <v>591</v>
      </c>
      <c r="B73" s="769">
        <f>B69/H73/1000</f>
        <v>0.14649999999999999</v>
      </c>
      <c r="C73" s="323" t="s">
        <v>93</v>
      </c>
      <c r="D73" s="323"/>
      <c r="E73" s="748" t="s">
        <v>593</v>
      </c>
      <c r="F73" s="323"/>
      <c r="G73" s="323"/>
      <c r="H73" s="744">
        <v>0.12</v>
      </c>
      <c r="I73" s="323" t="s">
        <v>95</v>
      </c>
      <c r="J73" s="323"/>
      <c r="K73" s="323" t="s">
        <v>230</v>
      </c>
      <c r="L73" s="452">
        <v>0.1</v>
      </c>
      <c r="M73" s="323" t="s">
        <v>225</v>
      </c>
      <c r="N73" s="323"/>
      <c r="O73" s="165"/>
      <c r="P73" s="165"/>
      <c r="Q73" s="165"/>
      <c r="R73" s="165"/>
    </row>
    <row r="74" spans="1:18" s="124" customFormat="1" ht="13.5" thickBot="1" x14ac:dyDescent="0.25">
      <c r="A74" s="323" t="s">
        <v>253</v>
      </c>
      <c r="B74" s="354">
        <f>B69/H74/1000</f>
        <v>0.19213114754098359</v>
      </c>
      <c r="C74" s="323" t="s">
        <v>93</v>
      </c>
      <c r="D74" s="119"/>
      <c r="E74" s="323" t="s">
        <v>254</v>
      </c>
      <c r="F74" s="119"/>
      <c r="G74" s="119"/>
      <c r="H74" s="119">
        <f>91.5/1000</f>
        <v>9.1499999999999998E-2</v>
      </c>
      <c r="I74" s="323" t="s">
        <v>95</v>
      </c>
      <c r="J74" s="119"/>
      <c r="K74" s="165" t="s">
        <v>257</v>
      </c>
      <c r="L74" s="119">
        <v>15</v>
      </c>
      <c r="M74" s="165" t="s">
        <v>259</v>
      </c>
      <c r="N74" s="119"/>
      <c r="O74" s="119"/>
      <c r="P74" s="119"/>
      <c r="Q74" s="119"/>
      <c r="R74" s="119"/>
    </row>
    <row r="75" spans="1:18" s="124" customFormat="1" ht="13.5" hidden="1" thickBot="1" x14ac:dyDescent="0.25">
      <c r="A75" s="122" t="s">
        <v>218</v>
      </c>
      <c r="B75" s="355"/>
      <c r="C75" s="122" t="s">
        <v>93</v>
      </c>
      <c r="D75" s="122"/>
      <c r="E75" s="122" t="s">
        <v>219</v>
      </c>
      <c r="F75" s="122"/>
      <c r="G75" s="122"/>
      <c r="H75" s="332">
        <f>127333/1000000</f>
        <v>0.127333</v>
      </c>
      <c r="I75" s="122" t="s">
        <v>95</v>
      </c>
      <c r="J75" s="122"/>
      <c r="K75" s="122" t="s">
        <v>230</v>
      </c>
      <c r="L75" s="333">
        <v>0.1</v>
      </c>
      <c r="M75" s="122" t="s">
        <v>225</v>
      </c>
      <c r="N75" s="122"/>
      <c r="O75" s="119"/>
      <c r="P75" s="119"/>
      <c r="Q75" s="119"/>
      <c r="R75" s="119"/>
    </row>
    <row r="76" spans="1:18" s="163" customFormat="1" ht="63.75" x14ac:dyDescent="0.2">
      <c r="A76" s="336" t="s">
        <v>102</v>
      </c>
      <c r="B76" s="686" t="s">
        <v>10</v>
      </c>
      <c r="C76" s="336" t="s">
        <v>103</v>
      </c>
      <c r="D76" s="337" t="s">
        <v>104</v>
      </c>
      <c r="E76" s="337" t="s">
        <v>331</v>
      </c>
      <c r="F76" s="338" t="s">
        <v>258</v>
      </c>
      <c r="G76" s="691" t="s">
        <v>106</v>
      </c>
      <c r="H76" s="337" t="s">
        <v>107</v>
      </c>
      <c r="I76" s="337" t="s">
        <v>332</v>
      </c>
      <c r="J76" s="686" t="s">
        <v>252</v>
      </c>
      <c r="K76" s="336" t="s">
        <v>306</v>
      </c>
      <c r="L76" s="337" t="s">
        <v>307</v>
      </c>
      <c r="M76" s="337" t="s">
        <v>333</v>
      </c>
      <c r="N76" s="338" t="s">
        <v>308</v>
      </c>
      <c r="O76" s="691" t="s">
        <v>109</v>
      </c>
      <c r="P76" s="337" t="s">
        <v>110</v>
      </c>
      <c r="Q76" s="338" t="s">
        <v>111</v>
      </c>
    </row>
    <row r="77" spans="1:18" s="124" customFormat="1" ht="12.75" customHeight="1" x14ac:dyDescent="0.2">
      <c r="A77" s="950" t="s">
        <v>651</v>
      </c>
      <c r="B77" s="687" t="s">
        <v>113</v>
      </c>
      <c r="C77" s="697">
        <v>1.7999999999999999E-6</v>
      </c>
      <c r="D77" s="117">
        <v>2.1100000000000001E-5</v>
      </c>
      <c r="E77" s="117">
        <v>2.1100000000000001E-5</v>
      </c>
      <c r="F77" s="698">
        <f t="shared" ref="F77:F89" si="32">C77/$H$71*$H$74*1000</f>
        <v>1.614705882352941E-7</v>
      </c>
      <c r="G77" s="692">
        <f t="shared" ref="G77:G89" si="33">C77*$B$71</f>
        <v>3.1023529411764698E-8</v>
      </c>
      <c r="H77" s="117">
        <f>D77*$B$70</f>
        <v>2.6494625191957428E-6</v>
      </c>
      <c r="I77" s="117">
        <f>E77*$B$73</f>
        <v>3.09115E-6</v>
      </c>
      <c r="J77" s="704">
        <f>F77*$B$74</f>
        <v>3.1023529411764698E-8</v>
      </c>
      <c r="K77" s="697">
        <f t="shared" ref="K77:K89" si="34">G77*8760/2000</f>
        <v>1.3588305882352937E-7</v>
      </c>
      <c r="L77" s="117">
        <f>H77*8760/2000*H$69</f>
        <v>1.1604645834077355E-5</v>
      </c>
      <c r="M77" s="117">
        <f>I77*8760/2000</f>
        <v>1.3539237E-5</v>
      </c>
      <c r="N77" s="698">
        <f>J77*8760/2000</f>
        <v>1.3588305882352937E-7</v>
      </c>
      <c r="O77" s="709">
        <f t="shared" ref="O77:O99" si="35">MAX(G77:J77)</f>
        <v>3.09115E-6</v>
      </c>
      <c r="P77" s="158">
        <f>O77*8760/2000</f>
        <v>1.3539237E-5</v>
      </c>
      <c r="Q77" s="339">
        <f t="shared" ref="Q77:Q108" si="36">MAX(K77:N77)</f>
        <v>1.3539237E-5</v>
      </c>
    </row>
    <row r="78" spans="1:18" s="124" customFormat="1" x14ac:dyDescent="0.2">
      <c r="A78" s="951"/>
      <c r="B78" s="687" t="s">
        <v>114</v>
      </c>
      <c r="C78" s="697">
        <v>1.7999999999999999E-6</v>
      </c>
      <c r="D78" s="117">
        <v>2.53E-7</v>
      </c>
      <c r="E78" s="117">
        <v>2.53E-7</v>
      </c>
      <c r="F78" s="698">
        <f t="shared" si="32"/>
        <v>1.614705882352941E-7</v>
      </c>
      <c r="G78" s="692">
        <f t="shared" si="33"/>
        <v>3.1023529411764698E-8</v>
      </c>
      <c r="H78" s="117">
        <f>D78*$B$70</f>
        <v>3.1768436841541372E-8</v>
      </c>
      <c r="I78" s="117">
        <f>E78*$B$73</f>
        <v>3.7064500000000001E-8</v>
      </c>
      <c r="J78" s="704">
        <f t="shared" ref="J78:J89" si="37">G78</f>
        <v>3.1023529411764698E-8</v>
      </c>
      <c r="K78" s="697">
        <f t="shared" si="34"/>
        <v>1.3588305882352937E-7</v>
      </c>
      <c r="L78" s="117">
        <f>H78*8760/2000*H$69</f>
        <v>1.3914575336595121E-7</v>
      </c>
      <c r="M78" s="117">
        <f t="shared" ref="M78:M127" si="38">I78*8760/2000</f>
        <v>1.6234250999999998E-7</v>
      </c>
      <c r="N78" s="698">
        <f t="shared" ref="N78:N89" si="39">J78*8760/2000</f>
        <v>1.3588305882352937E-7</v>
      </c>
      <c r="O78" s="709">
        <f t="shared" si="35"/>
        <v>3.7064500000000001E-8</v>
      </c>
      <c r="P78" s="158">
        <f t="shared" ref="P78:P95" si="40">O78*8760/2000</f>
        <v>1.6234250999999998E-7</v>
      </c>
      <c r="Q78" s="339">
        <f t="shared" si="36"/>
        <v>1.6234250999999998E-7</v>
      </c>
    </row>
    <row r="79" spans="1:18" s="124" customFormat="1" x14ac:dyDescent="0.2">
      <c r="A79" s="951"/>
      <c r="B79" s="687" t="s">
        <v>115</v>
      </c>
      <c r="C79" s="697">
        <v>2.3999999999999999E-6</v>
      </c>
      <c r="D79" s="117">
        <v>1.22E-6</v>
      </c>
      <c r="E79" s="117">
        <v>1.22E-6</v>
      </c>
      <c r="F79" s="698">
        <f t="shared" si="32"/>
        <v>2.1529411764705881E-7</v>
      </c>
      <c r="G79" s="692">
        <f t="shared" si="33"/>
        <v>4.1364705882352933E-8</v>
      </c>
      <c r="H79" s="117">
        <f>D79*$B$70</f>
        <v>1.5319167172600976E-7</v>
      </c>
      <c r="I79" s="117">
        <f>E79*$B$73</f>
        <v>1.7872999999999999E-7</v>
      </c>
      <c r="J79" s="704">
        <f t="shared" si="37"/>
        <v>4.1364705882352933E-8</v>
      </c>
      <c r="K79" s="697">
        <f t="shared" si="34"/>
        <v>1.8117741176470586E-7</v>
      </c>
      <c r="L79" s="117">
        <f>H79*8760/2000*H$69</f>
        <v>6.7097952215992274E-7</v>
      </c>
      <c r="M79" s="117">
        <f t="shared" si="38"/>
        <v>7.8283739999999987E-7</v>
      </c>
      <c r="N79" s="698">
        <f t="shared" si="39"/>
        <v>1.8117741176470586E-7</v>
      </c>
      <c r="O79" s="709">
        <f t="shared" si="35"/>
        <v>1.7872999999999999E-7</v>
      </c>
      <c r="P79" s="158">
        <f t="shared" si="40"/>
        <v>7.8283739999999987E-7</v>
      </c>
      <c r="Q79" s="339">
        <f t="shared" si="36"/>
        <v>7.8283739999999987E-7</v>
      </c>
    </row>
    <row r="80" spans="1:18" s="124" customFormat="1" x14ac:dyDescent="0.2">
      <c r="A80" s="951"/>
      <c r="B80" s="687" t="s">
        <v>160</v>
      </c>
      <c r="C80" s="697">
        <v>1.7999999999999999E-6</v>
      </c>
      <c r="D80" s="117">
        <v>4.0099999999999997E-6</v>
      </c>
      <c r="E80" s="117">
        <v>4.0099999999999997E-6</v>
      </c>
      <c r="F80" s="698">
        <f t="shared" si="32"/>
        <v>1.614705882352941E-7</v>
      </c>
      <c r="G80" s="692">
        <f t="shared" si="33"/>
        <v>3.1023529411764698E-8</v>
      </c>
      <c r="H80" s="117">
        <f>D80*$B$70</f>
        <v>5.0352344559122884E-7</v>
      </c>
      <c r="I80" s="117">
        <f>E80*$B$73</f>
        <v>5.8746499999999997E-7</v>
      </c>
      <c r="J80" s="704">
        <f t="shared" si="37"/>
        <v>3.1023529411764698E-8</v>
      </c>
      <c r="K80" s="697">
        <f t="shared" si="34"/>
        <v>1.3588305882352937E-7</v>
      </c>
      <c r="L80" s="117">
        <f>H80*8760/2000*H$69</f>
        <v>2.205432691689582E-6</v>
      </c>
      <c r="M80" s="117">
        <f t="shared" si="38"/>
        <v>2.5730966999999999E-6</v>
      </c>
      <c r="N80" s="698">
        <f t="shared" si="39"/>
        <v>1.3588305882352937E-7</v>
      </c>
      <c r="O80" s="709">
        <f t="shared" si="35"/>
        <v>5.8746499999999997E-7</v>
      </c>
      <c r="P80" s="158">
        <f t="shared" si="40"/>
        <v>2.5730966999999999E-6</v>
      </c>
      <c r="Q80" s="339">
        <f t="shared" si="36"/>
        <v>2.5730966999999999E-6</v>
      </c>
    </row>
    <row r="81" spans="1:22" s="124" customFormat="1" x14ac:dyDescent="0.2">
      <c r="A81" s="951"/>
      <c r="B81" s="687" t="s">
        <v>117</v>
      </c>
      <c r="C81" s="697">
        <v>2.0999999999999999E-3</v>
      </c>
      <c r="D81" s="117">
        <v>2.14E-4</v>
      </c>
      <c r="E81" s="117">
        <v>2.14E-4</v>
      </c>
      <c r="F81" s="698">
        <f t="shared" si="32"/>
        <v>1.8838235294117646E-4</v>
      </c>
      <c r="G81" s="692">
        <f t="shared" si="33"/>
        <v>3.6194117647058815E-5</v>
      </c>
      <c r="H81" s="117">
        <f>D81*$B$70</f>
        <v>2.6871326024070568E-5</v>
      </c>
      <c r="I81" s="117">
        <f>E81*$B$73</f>
        <v>3.1350999999999998E-5</v>
      </c>
      <c r="J81" s="704">
        <f t="shared" si="37"/>
        <v>3.6194117647058815E-5</v>
      </c>
      <c r="K81" s="697">
        <f t="shared" si="34"/>
        <v>1.5853023529411762E-4</v>
      </c>
      <c r="L81" s="117">
        <f>H81*8760/2000*H$69</f>
        <v>1.1769640798542908E-4</v>
      </c>
      <c r="M81" s="117">
        <f t="shared" si="38"/>
        <v>1.3731738E-4</v>
      </c>
      <c r="N81" s="698">
        <f t="shared" si="39"/>
        <v>1.5853023529411762E-4</v>
      </c>
      <c r="O81" s="709">
        <f t="shared" si="35"/>
        <v>3.6194117647058815E-5</v>
      </c>
      <c r="P81" s="158">
        <f t="shared" si="40"/>
        <v>1.5853023529411762E-4</v>
      </c>
      <c r="Q81" s="339">
        <f t="shared" si="36"/>
        <v>1.5853023529411762E-4</v>
      </c>
    </row>
    <row r="82" spans="1:22" s="124" customFormat="1" x14ac:dyDescent="0.2">
      <c r="A82" s="951"/>
      <c r="B82" s="688" t="s">
        <v>118</v>
      </c>
      <c r="C82" s="697">
        <v>1.1999999999999999E-6</v>
      </c>
      <c r="D82" s="117"/>
      <c r="E82" s="117"/>
      <c r="F82" s="698">
        <f t="shared" si="32"/>
        <v>1.0764705882352941E-7</v>
      </c>
      <c r="G82" s="692">
        <f t="shared" si="33"/>
        <v>2.0682352941176466E-8</v>
      </c>
      <c r="H82" s="117"/>
      <c r="I82" s="117"/>
      <c r="J82" s="704">
        <f t="shared" si="37"/>
        <v>2.0682352941176466E-8</v>
      </c>
      <c r="K82" s="697">
        <f t="shared" si="34"/>
        <v>9.0588705882352931E-8</v>
      </c>
      <c r="L82" s="117"/>
      <c r="M82" s="117"/>
      <c r="N82" s="698">
        <f t="shared" si="39"/>
        <v>9.0588705882352931E-8</v>
      </c>
      <c r="O82" s="709">
        <f t="shared" si="35"/>
        <v>2.0682352941176466E-8</v>
      </c>
      <c r="P82" s="158">
        <f t="shared" si="40"/>
        <v>9.0588705882352931E-8</v>
      </c>
      <c r="Q82" s="339">
        <f t="shared" si="36"/>
        <v>9.0588705882352931E-8</v>
      </c>
    </row>
    <row r="83" spans="1:22" s="124" customFormat="1" x14ac:dyDescent="0.2">
      <c r="A83" s="951"/>
      <c r="B83" s="687" t="s">
        <v>119</v>
      </c>
      <c r="C83" s="697">
        <v>1.7999999999999999E-6</v>
      </c>
      <c r="D83" s="117">
        <v>1.48E-6</v>
      </c>
      <c r="E83" s="117">
        <v>1.48E-6</v>
      </c>
      <c r="F83" s="698">
        <f t="shared" si="32"/>
        <v>1.614705882352941E-7</v>
      </c>
      <c r="G83" s="692">
        <f t="shared" si="33"/>
        <v>3.1023529411764698E-8</v>
      </c>
      <c r="H83" s="117">
        <f>D83*$B$70</f>
        <v>1.8583907717581515E-7</v>
      </c>
      <c r="I83" s="117">
        <f>E83*$B$73</f>
        <v>2.1681999999999998E-7</v>
      </c>
      <c r="J83" s="704">
        <f t="shared" si="37"/>
        <v>3.1023529411764698E-8</v>
      </c>
      <c r="K83" s="697">
        <f t="shared" si="34"/>
        <v>1.3588305882352937E-7</v>
      </c>
      <c r="L83" s="117">
        <f>H83*8760/2000*H$69</f>
        <v>8.1397515803007036E-7</v>
      </c>
      <c r="M83" s="117">
        <f t="shared" si="38"/>
        <v>9.4967159999999988E-7</v>
      </c>
      <c r="N83" s="698">
        <f t="shared" si="39"/>
        <v>1.3588305882352937E-7</v>
      </c>
      <c r="O83" s="709">
        <f t="shared" si="35"/>
        <v>2.1681999999999998E-7</v>
      </c>
      <c r="P83" s="158">
        <f t="shared" si="40"/>
        <v>9.4967159999999988E-7</v>
      </c>
      <c r="Q83" s="339">
        <f t="shared" si="36"/>
        <v>9.4967159999999988E-7</v>
      </c>
    </row>
    <row r="84" spans="1:22" s="124" customFormat="1" x14ac:dyDescent="0.2">
      <c r="A84" s="951"/>
      <c r="B84" s="687" t="s">
        <v>120</v>
      </c>
      <c r="C84" s="697">
        <v>1.1999999999999999E-6</v>
      </c>
      <c r="D84" s="117">
        <v>2.26E-6</v>
      </c>
      <c r="E84" s="117">
        <v>2.26E-6</v>
      </c>
      <c r="F84" s="698">
        <f t="shared" si="32"/>
        <v>1.0764705882352941E-7</v>
      </c>
      <c r="G84" s="692">
        <f t="shared" si="33"/>
        <v>2.0682352941176466E-8</v>
      </c>
      <c r="H84" s="117">
        <f>D84*$B$70</f>
        <v>2.837812935252312E-7</v>
      </c>
      <c r="I84" s="117">
        <f>E84*$B$73</f>
        <v>3.3108999999999998E-7</v>
      </c>
      <c r="J84" s="704">
        <f t="shared" si="37"/>
        <v>2.0682352941176466E-8</v>
      </c>
      <c r="K84" s="697">
        <f t="shared" si="34"/>
        <v>9.0588705882352931E-8</v>
      </c>
      <c r="L84" s="117">
        <f>H84*8760/2000*H$69</f>
        <v>1.2429620656405125E-6</v>
      </c>
      <c r="M84" s="117">
        <f t="shared" si="38"/>
        <v>1.4501741999999999E-6</v>
      </c>
      <c r="N84" s="698">
        <f t="shared" si="39"/>
        <v>9.0588705882352931E-8</v>
      </c>
      <c r="O84" s="709">
        <f t="shared" si="35"/>
        <v>3.3108999999999998E-7</v>
      </c>
      <c r="P84" s="158">
        <f t="shared" si="40"/>
        <v>1.4501741999999999E-6</v>
      </c>
      <c r="Q84" s="339">
        <f t="shared" si="36"/>
        <v>1.4501741999999999E-6</v>
      </c>
    </row>
    <row r="85" spans="1:22" s="124" customFormat="1" x14ac:dyDescent="0.2">
      <c r="A85" s="951"/>
      <c r="B85" s="687" t="s">
        <v>121</v>
      </c>
      <c r="C85" s="697">
        <v>1.7999999999999999E-6</v>
      </c>
      <c r="D85" s="117">
        <v>1.48E-6</v>
      </c>
      <c r="E85" s="117">
        <v>1.48E-6</v>
      </c>
      <c r="F85" s="698">
        <f t="shared" si="32"/>
        <v>1.614705882352941E-7</v>
      </c>
      <c r="G85" s="692">
        <f t="shared" si="33"/>
        <v>3.1023529411764698E-8</v>
      </c>
      <c r="H85" s="117">
        <f>D85*$B$70</f>
        <v>1.8583907717581515E-7</v>
      </c>
      <c r="I85" s="117">
        <f>E85*$B$73</f>
        <v>2.1681999999999998E-7</v>
      </c>
      <c r="J85" s="704">
        <f t="shared" si="37"/>
        <v>3.1023529411764698E-8</v>
      </c>
      <c r="K85" s="697">
        <f t="shared" si="34"/>
        <v>1.3588305882352937E-7</v>
      </c>
      <c r="L85" s="117">
        <f>H85*8760/2000*H$69</f>
        <v>8.1397515803007036E-7</v>
      </c>
      <c r="M85" s="117">
        <f t="shared" si="38"/>
        <v>9.4967159999999988E-7</v>
      </c>
      <c r="N85" s="698">
        <f t="shared" si="39"/>
        <v>1.3588305882352937E-7</v>
      </c>
      <c r="O85" s="709">
        <f t="shared" si="35"/>
        <v>2.1681999999999998E-7</v>
      </c>
      <c r="P85" s="158">
        <f t="shared" si="40"/>
        <v>9.4967159999999988E-7</v>
      </c>
      <c r="Q85" s="339">
        <f t="shared" si="36"/>
        <v>9.4967159999999988E-7</v>
      </c>
    </row>
    <row r="86" spans="1:22" s="124" customFormat="1" x14ac:dyDescent="0.2">
      <c r="A86" s="951"/>
      <c r="B86" s="687" t="s">
        <v>122</v>
      </c>
      <c r="C86" s="697">
        <v>1.7999999999999999E-6</v>
      </c>
      <c r="D86" s="117">
        <v>2.3800000000000001E-6</v>
      </c>
      <c r="E86" s="117">
        <v>2.3800000000000001E-6</v>
      </c>
      <c r="F86" s="698">
        <f t="shared" si="32"/>
        <v>1.614705882352941E-7</v>
      </c>
      <c r="G86" s="692">
        <f t="shared" si="33"/>
        <v>3.1023529411764698E-8</v>
      </c>
      <c r="H86" s="117">
        <f>D86*$B$70</f>
        <v>2.9884932680975677E-7</v>
      </c>
      <c r="I86" s="117">
        <f>E86*$B$73</f>
        <v>3.4867000000000001E-7</v>
      </c>
      <c r="J86" s="704">
        <f t="shared" si="37"/>
        <v>3.1023529411764698E-8</v>
      </c>
      <c r="K86" s="697">
        <f t="shared" si="34"/>
        <v>1.3588305882352937E-7</v>
      </c>
      <c r="L86" s="117">
        <f>H86*8760/2000*H$69</f>
        <v>1.3089600514267347E-6</v>
      </c>
      <c r="M86" s="117">
        <f t="shared" si="38"/>
        <v>1.5271746000000002E-6</v>
      </c>
      <c r="N86" s="698">
        <f t="shared" si="39"/>
        <v>1.3588305882352937E-7</v>
      </c>
      <c r="O86" s="709">
        <f t="shared" si="35"/>
        <v>3.4867000000000001E-7</v>
      </c>
      <c r="P86" s="158">
        <f t="shared" si="40"/>
        <v>1.5271746000000002E-6</v>
      </c>
      <c r="Q86" s="339">
        <f t="shared" si="36"/>
        <v>1.5271746000000002E-6</v>
      </c>
    </row>
    <row r="87" spans="1:22" s="124" customFormat="1" x14ac:dyDescent="0.2">
      <c r="A87" s="951"/>
      <c r="B87" s="687" t="s">
        <v>123</v>
      </c>
      <c r="C87" s="697">
        <v>1.1999999999999999E-3</v>
      </c>
      <c r="D87" s="117">
        <v>1.6700000000000001E-6</v>
      </c>
      <c r="E87" s="117">
        <v>1.6700000000000001E-6</v>
      </c>
      <c r="F87" s="698">
        <f t="shared" si="32"/>
        <v>1.0764705882352939E-4</v>
      </c>
      <c r="G87" s="692">
        <f t="shared" si="33"/>
        <v>2.0682352941176467E-5</v>
      </c>
      <c r="H87" s="117">
        <f>D87*$B$70</f>
        <v>2.096967965429806E-7</v>
      </c>
      <c r="I87" s="117">
        <f>E87*$B$73</f>
        <v>2.4465499999999999E-7</v>
      </c>
      <c r="J87" s="704">
        <f t="shared" si="37"/>
        <v>2.0682352941176467E-5</v>
      </c>
      <c r="K87" s="697">
        <f t="shared" si="34"/>
        <v>9.0588705882352929E-5</v>
      </c>
      <c r="L87" s="117">
        <f>H87*8760/2000*H$69</f>
        <v>9.1847196885825501E-7</v>
      </c>
      <c r="M87" s="117">
        <f t="shared" si="38"/>
        <v>1.0715889E-6</v>
      </c>
      <c r="N87" s="698">
        <f t="shared" si="39"/>
        <v>9.0588705882352929E-5</v>
      </c>
      <c r="O87" s="709">
        <f t="shared" si="35"/>
        <v>2.0682352941176467E-5</v>
      </c>
      <c r="P87" s="158">
        <f t="shared" si="40"/>
        <v>9.0588705882352929E-5</v>
      </c>
      <c r="Q87" s="339">
        <f t="shared" si="36"/>
        <v>9.0588705882352929E-5</v>
      </c>
    </row>
    <row r="88" spans="1:22" s="124" customFormat="1" x14ac:dyDescent="0.2">
      <c r="A88" s="951"/>
      <c r="B88" s="687" t="s">
        <v>124</v>
      </c>
      <c r="C88" s="697">
        <v>1.1999999999999999E-3</v>
      </c>
      <c r="D88" s="117"/>
      <c r="E88" s="117"/>
      <c r="F88" s="698">
        <f t="shared" si="32"/>
        <v>1.0764705882352939E-4</v>
      </c>
      <c r="G88" s="692">
        <f t="shared" si="33"/>
        <v>2.0682352941176467E-5</v>
      </c>
      <c r="H88" s="117"/>
      <c r="I88" s="117"/>
      <c r="J88" s="704">
        <f t="shared" si="37"/>
        <v>2.0682352941176467E-5</v>
      </c>
      <c r="K88" s="697">
        <f t="shared" si="34"/>
        <v>9.0588705882352929E-5</v>
      </c>
      <c r="L88" s="117"/>
      <c r="M88" s="117"/>
      <c r="N88" s="698">
        <f t="shared" si="39"/>
        <v>9.0588705882352929E-5</v>
      </c>
      <c r="O88" s="709">
        <f t="shared" si="35"/>
        <v>2.0682352941176467E-5</v>
      </c>
      <c r="P88" s="158">
        <f t="shared" si="40"/>
        <v>9.0588705882352929E-5</v>
      </c>
      <c r="Q88" s="339">
        <f t="shared" si="36"/>
        <v>9.0588705882352929E-5</v>
      </c>
    </row>
    <row r="89" spans="1:22" s="124" customFormat="1" x14ac:dyDescent="0.2">
      <c r="A89" s="951"/>
      <c r="B89" s="687" t="s">
        <v>214</v>
      </c>
      <c r="C89" s="697">
        <v>1.5999999999999999E-5</v>
      </c>
      <c r="D89" s="117"/>
      <c r="E89" s="117"/>
      <c r="F89" s="698">
        <f t="shared" si="32"/>
        <v>1.4352941176470588E-6</v>
      </c>
      <c r="G89" s="692">
        <f t="shared" si="33"/>
        <v>2.7576470588235289E-7</v>
      </c>
      <c r="H89" s="117"/>
      <c r="I89" s="117"/>
      <c r="J89" s="704">
        <f t="shared" si="37"/>
        <v>2.7576470588235289E-7</v>
      </c>
      <c r="K89" s="697">
        <f t="shared" si="34"/>
        <v>1.2078494117647057E-6</v>
      </c>
      <c r="L89" s="117"/>
      <c r="M89" s="117"/>
      <c r="N89" s="698">
        <f t="shared" si="39"/>
        <v>1.2078494117647057E-6</v>
      </c>
      <c r="O89" s="709">
        <f t="shared" si="35"/>
        <v>2.7576470588235289E-7</v>
      </c>
      <c r="P89" s="158">
        <f t="shared" si="40"/>
        <v>1.2078494117647057E-6</v>
      </c>
      <c r="Q89" s="339">
        <f t="shared" si="36"/>
        <v>1.2078494117647057E-6</v>
      </c>
    </row>
    <row r="90" spans="1:22" s="124" customFormat="1" x14ac:dyDescent="0.2">
      <c r="A90" s="951"/>
      <c r="B90" s="687" t="s">
        <v>125</v>
      </c>
      <c r="C90" s="697"/>
      <c r="D90" s="117">
        <v>6.3600000000000001E-5</v>
      </c>
      <c r="E90" s="117">
        <v>6.3600000000000001E-5</v>
      </c>
      <c r="F90" s="698"/>
      <c r="G90" s="692"/>
      <c r="H90" s="117">
        <f>D90*$B$70</f>
        <v>7.986057640798543E-6</v>
      </c>
      <c r="I90" s="117">
        <f>E90*$B$73</f>
        <v>9.3173999999999999E-6</v>
      </c>
      <c r="J90" s="704"/>
      <c r="K90" s="697"/>
      <c r="L90" s="117">
        <f>H90*8760/2000*H$69</f>
        <v>3.4978932466697616E-5</v>
      </c>
      <c r="M90" s="117">
        <f t="shared" si="38"/>
        <v>4.0810211999999997E-5</v>
      </c>
      <c r="N90" s="698"/>
      <c r="O90" s="709">
        <f t="shared" si="35"/>
        <v>9.3173999999999999E-6</v>
      </c>
      <c r="P90" s="158">
        <f t="shared" si="40"/>
        <v>4.0810211999999997E-5</v>
      </c>
      <c r="Q90" s="339">
        <f t="shared" si="36"/>
        <v>4.0810211999999997E-5</v>
      </c>
    </row>
    <row r="91" spans="1:22" s="124" customFormat="1" x14ac:dyDescent="0.2">
      <c r="A91" s="951"/>
      <c r="B91" s="687" t="s">
        <v>126</v>
      </c>
      <c r="C91" s="697">
        <v>3.0000000000000001E-6</v>
      </c>
      <c r="D91" s="117">
        <v>4.8400000000000002E-6</v>
      </c>
      <c r="E91" s="117">
        <v>4.8400000000000002E-6</v>
      </c>
      <c r="F91" s="698">
        <f t="shared" ref="F91:F99" si="41">C91/$H$71*$H$74*1000</f>
        <v>2.6911764705882348E-7</v>
      </c>
      <c r="G91" s="692">
        <f t="shared" ref="G91:G99" si="42">C91*$B$71</f>
        <v>5.1705882352941174E-8</v>
      </c>
      <c r="H91" s="117">
        <f>D91*$B$70</f>
        <v>6.0774400914253066E-7</v>
      </c>
      <c r="I91" s="117">
        <f>E91*$B$73</f>
        <v>7.0905999999999997E-7</v>
      </c>
      <c r="J91" s="704">
        <f t="shared" ref="J91:J99" si="43">G91</f>
        <v>5.1705882352941174E-8</v>
      </c>
      <c r="K91" s="697">
        <f t="shared" ref="K91:K99" si="44">G91*8760/2000</f>
        <v>2.2647176470588233E-7</v>
      </c>
      <c r="L91" s="117">
        <f>H91*8760/2000*H$69</f>
        <v>2.6619187600442843E-6</v>
      </c>
      <c r="M91" s="117">
        <f t="shared" si="38"/>
        <v>3.1056828E-6</v>
      </c>
      <c r="N91" s="698">
        <f t="shared" ref="N91:N99" si="45">J91*8760/2000</f>
        <v>2.2647176470588233E-7</v>
      </c>
      <c r="O91" s="709">
        <f t="shared" si="35"/>
        <v>7.0905999999999997E-7</v>
      </c>
      <c r="P91" s="158">
        <f t="shared" si="40"/>
        <v>3.1056828E-6</v>
      </c>
      <c r="Q91" s="339">
        <f t="shared" si="36"/>
        <v>3.1056828E-6</v>
      </c>
    </row>
    <row r="92" spans="1:22" s="124" customFormat="1" x14ac:dyDescent="0.2">
      <c r="A92" s="951"/>
      <c r="B92" s="687" t="s">
        <v>127</v>
      </c>
      <c r="C92" s="697">
        <v>2.7999999999999999E-6</v>
      </c>
      <c r="D92" s="117">
        <v>4.4700000000000004E-6</v>
      </c>
      <c r="E92" s="117">
        <v>4.4700000000000004E-6</v>
      </c>
      <c r="F92" s="698">
        <f t="shared" si="41"/>
        <v>2.5117647058823527E-7</v>
      </c>
      <c r="G92" s="692">
        <f t="shared" si="42"/>
        <v>4.825882352941176E-8</v>
      </c>
      <c r="H92" s="117">
        <f>D92*$B$70</f>
        <v>5.612842398485768E-7</v>
      </c>
      <c r="I92" s="117">
        <f>E92*$B$73</f>
        <v>6.54855E-7</v>
      </c>
      <c r="J92" s="704">
        <f t="shared" si="43"/>
        <v>4.825882352941176E-8</v>
      </c>
      <c r="K92" s="697">
        <f t="shared" si="44"/>
        <v>2.1137364705882351E-7</v>
      </c>
      <c r="L92" s="117">
        <f>H92*8760/2000*H$69</f>
        <v>2.4584249705367663E-6</v>
      </c>
      <c r="M92" s="117">
        <f t="shared" si="38"/>
        <v>2.8682648999999999E-6</v>
      </c>
      <c r="N92" s="698">
        <f t="shared" si="45"/>
        <v>2.1137364705882351E-7</v>
      </c>
      <c r="O92" s="709">
        <f t="shared" si="35"/>
        <v>6.54855E-7</v>
      </c>
      <c r="P92" s="158">
        <f t="shared" si="40"/>
        <v>2.8682648999999999E-6</v>
      </c>
      <c r="Q92" s="339">
        <f t="shared" si="36"/>
        <v>2.8682648999999999E-6</v>
      </c>
    </row>
    <row r="93" spans="1:22" s="124" customFormat="1" x14ac:dyDescent="0.2">
      <c r="A93" s="951"/>
      <c r="B93" s="687" t="s">
        <v>128</v>
      </c>
      <c r="C93" s="697">
        <v>7.4999999999999997E-2</v>
      </c>
      <c r="D93" s="117">
        <v>3.3000000000000002E-2</v>
      </c>
      <c r="E93" s="117">
        <f>'RAFVO Emission Factors'!F24</f>
        <v>2.4000000000000002E-3</v>
      </c>
      <c r="F93" s="698">
        <f t="shared" si="41"/>
        <v>6.7279411764705876E-3</v>
      </c>
      <c r="G93" s="692">
        <f t="shared" si="42"/>
        <v>1.2926470588235292E-3</v>
      </c>
      <c r="H93" s="117">
        <f>D93*$B$70</f>
        <v>4.1437091532445271E-3</v>
      </c>
      <c r="I93" s="117">
        <f>E93*$B$73</f>
        <v>3.5160000000000004E-4</v>
      </c>
      <c r="J93" s="704">
        <f t="shared" si="43"/>
        <v>1.2926470588235292E-3</v>
      </c>
      <c r="K93" s="697">
        <f t="shared" si="44"/>
        <v>5.6617941176470583E-3</v>
      </c>
      <c r="L93" s="117">
        <f>H93*8760/2000*H$69</f>
        <v>1.8149446091211028E-2</v>
      </c>
      <c r="M93" s="117">
        <f t="shared" si="38"/>
        <v>1.5400080000000003E-3</v>
      </c>
      <c r="N93" s="698">
        <f t="shared" si="45"/>
        <v>5.6617941176470583E-3</v>
      </c>
      <c r="O93" s="709">
        <f t="shared" si="35"/>
        <v>4.1437091532445271E-3</v>
      </c>
      <c r="P93" s="158">
        <f t="shared" si="40"/>
        <v>1.8149446091211028E-2</v>
      </c>
      <c r="Q93" s="339">
        <f t="shared" si="36"/>
        <v>1.8149446091211028E-2</v>
      </c>
      <c r="V93" s="150"/>
    </row>
    <row r="94" spans="1:22" s="124" customFormat="1" x14ac:dyDescent="0.2">
      <c r="A94" s="951"/>
      <c r="B94" s="687" t="s">
        <v>129</v>
      </c>
      <c r="C94" s="697">
        <v>1.8</v>
      </c>
      <c r="D94" s="117"/>
      <c r="E94" s="117"/>
      <c r="F94" s="698">
        <f t="shared" si="41"/>
        <v>0.16147058823529412</v>
      </c>
      <c r="G94" s="692">
        <f t="shared" si="42"/>
        <v>3.1023529411764703E-2</v>
      </c>
      <c r="H94" s="117"/>
      <c r="I94" s="117"/>
      <c r="J94" s="704">
        <f t="shared" si="43"/>
        <v>3.1023529411764703E-2</v>
      </c>
      <c r="K94" s="697">
        <f t="shared" si="44"/>
        <v>0.13588305882352941</v>
      </c>
      <c r="L94" s="117"/>
      <c r="M94" s="117"/>
      <c r="N94" s="698">
        <f t="shared" si="45"/>
        <v>0.13588305882352941</v>
      </c>
      <c r="O94" s="709">
        <f t="shared" si="35"/>
        <v>3.1023529411764703E-2</v>
      </c>
      <c r="P94" s="158">
        <f t="shared" si="40"/>
        <v>0.13588305882352941</v>
      </c>
      <c r="Q94" s="340">
        <f t="shared" si="36"/>
        <v>0.13588305882352941</v>
      </c>
    </row>
    <row r="95" spans="1:22" s="124" customFormat="1" x14ac:dyDescent="0.2">
      <c r="A95" s="951"/>
      <c r="B95" s="687" t="s">
        <v>130</v>
      </c>
      <c r="C95" s="697">
        <v>1.7999999999999999E-6</v>
      </c>
      <c r="D95" s="117">
        <v>2.1399999999999998E-6</v>
      </c>
      <c r="E95" s="117">
        <v>2.1399999999999998E-6</v>
      </c>
      <c r="F95" s="698">
        <f t="shared" si="41"/>
        <v>1.614705882352941E-7</v>
      </c>
      <c r="G95" s="692">
        <f t="shared" si="42"/>
        <v>3.1023529411764698E-8</v>
      </c>
      <c r="H95" s="117">
        <f>D95*$B$70</f>
        <v>2.6871326024070564E-7</v>
      </c>
      <c r="I95" s="117">
        <f>E95*$B$73</f>
        <v>3.1350999999999995E-7</v>
      </c>
      <c r="J95" s="704">
        <f t="shared" si="43"/>
        <v>3.1023529411764698E-8</v>
      </c>
      <c r="K95" s="697">
        <f t="shared" si="44"/>
        <v>1.3588305882352937E-7</v>
      </c>
      <c r="L95" s="117">
        <f>H95*8760/2000*H$69</f>
        <v>1.1769640798542907E-6</v>
      </c>
      <c r="M95" s="117">
        <f t="shared" si="38"/>
        <v>1.3731737999999997E-6</v>
      </c>
      <c r="N95" s="698">
        <f t="shared" si="45"/>
        <v>1.3588305882352937E-7</v>
      </c>
      <c r="O95" s="709">
        <f t="shared" si="35"/>
        <v>3.1350999999999995E-7</v>
      </c>
      <c r="P95" s="158">
        <f t="shared" si="40"/>
        <v>1.3731737999999997E-6</v>
      </c>
      <c r="Q95" s="340">
        <f t="shared" si="36"/>
        <v>1.3731737999999997E-6</v>
      </c>
    </row>
    <row r="96" spans="1:22" s="124" customFormat="1" x14ac:dyDescent="0.2">
      <c r="A96" s="951"/>
      <c r="B96" s="687" t="s">
        <v>216</v>
      </c>
      <c r="C96" s="697">
        <v>2.4000000000000001E-5</v>
      </c>
      <c r="D96" s="117"/>
      <c r="E96" s="117"/>
      <c r="F96" s="698">
        <f t="shared" si="41"/>
        <v>2.1529411764705878E-6</v>
      </c>
      <c r="G96" s="692">
        <f t="shared" si="42"/>
        <v>4.1364705882352939E-7</v>
      </c>
      <c r="H96" s="117"/>
      <c r="I96" s="117"/>
      <c r="J96" s="704">
        <f t="shared" si="43"/>
        <v>4.1364705882352939E-7</v>
      </c>
      <c r="K96" s="697">
        <f t="shared" si="44"/>
        <v>1.8117741176470586E-6</v>
      </c>
      <c r="L96" s="117"/>
      <c r="M96" s="117"/>
      <c r="N96" s="698">
        <f t="shared" si="45"/>
        <v>1.8117741176470586E-6</v>
      </c>
      <c r="O96" s="709">
        <f t="shared" si="35"/>
        <v>4.1364705882352939E-7</v>
      </c>
      <c r="P96" s="158">
        <f>O96*8760/2000</f>
        <v>1.8117741176470586E-6</v>
      </c>
      <c r="Q96" s="340">
        <f t="shared" si="36"/>
        <v>1.8117741176470586E-6</v>
      </c>
    </row>
    <row r="97" spans="1:22" s="124" customFormat="1" x14ac:dyDescent="0.2">
      <c r="A97" s="951"/>
      <c r="B97" s="687" t="s">
        <v>217</v>
      </c>
      <c r="C97" s="697">
        <v>1.7999999999999999E-6</v>
      </c>
      <c r="D97" s="117"/>
      <c r="E97" s="117"/>
      <c r="F97" s="698">
        <f t="shared" si="41"/>
        <v>1.614705882352941E-7</v>
      </c>
      <c r="G97" s="692">
        <f t="shared" si="42"/>
        <v>3.1023529411764698E-8</v>
      </c>
      <c r="H97" s="117"/>
      <c r="I97" s="117"/>
      <c r="J97" s="704">
        <f t="shared" si="43"/>
        <v>3.1023529411764698E-8</v>
      </c>
      <c r="K97" s="697">
        <f t="shared" si="44"/>
        <v>1.3588305882352937E-7</v>
      </c>
      <c r="L97" s="117"/>
      <c r="M97" s="117"/>
      <c r="N97" s="698">
        <f t="shared" si="45"/>
        <v>1.3588305882352937E-7</v>
      </c>
      <c r="O97" s="709">
        <f t="shared" si="35"/>
        <v>3.1023529411764698E-8</v>
      </c>
      <c r="P97" s="158">
        <f>O97*8760/2000</f>
        <v>1.3588305882352937E-7</v>
      </c>
      <c r="Q97" s="340">
        <f t="shared" si="36"/>
        <v>1.3588305882352937E-7</v>
      </c>
    </row>
    <row r="98" spans="1:22" s="124" customFormat="1" x14ac:dyDescent="0.2">
      <c r="A98" s="951"/>
      <c r="B98" s="687" t="s">
        <v>131</v>
      </c>
      <c r="C98" s="697">
        <v>6.0999999999999997E-4</v>
      </c>
      <c r="D98" s="117">
        <v>1.1299999999999999E-3</v>
      </c>
      <c r="E98" s="117">
        <v>1.1299999999999999E-3</v>
      </c>
      <c r="F98" s="698">
        <f t="shared" si="41"/>
        <v>5.4720588235294111E-5</v>
      </c>
      <c r="G98" s="692">
        <f t="shared" si="42"/>
        <v>1.0513529411764704E-5</v>
      </c>
      <c r="H98" s="117">
        <f>D98*$B$70</f>
        <v>1.4189064676261559E-4</v>
      </c>
      <c r="I98" s="117">
        <f>E98*$B$73</f>
        <v>1.6554499999999999E-4</v>
      </c>
      <c r="J98" s="704">
        <f t="shared" si="43"/>
        <v>1.0513529411764704E-5</v>
      </c>
      <c r="K98" s="697">
        <f t="shared" si="44"/>
        <v>4.6049258823529407E-5</v>
      </c>
      <c r="L98" s="117">
        <f>H98*8760/2000*H$69</f>
        <v>6.2148103282025629E-4</v>
      </c>
      <c r="M98" s="117">
        <f t="shared" si="38"/>
        <v>7.2508709999999994E-4</v>
      </c>
      <c r="N98" s="698">
        <f t="shared" si="45"/>
        <v>4.6049258823529407E-5</v>
      </c>
      <c r="O98" s="709">
        <f t="shared" si="35"/>
        <v>1.6554499999999999E-4</v>
      </c>
      <c r="P98" s="158">
        <f t="shared" ref="P98:P99" si="46">O98*8760/2000</f>
        <v>7.2508709999999994E-4</v>
      </c>
      <c r="Q98" s="340">
        <f t="shared" si="36"/>
        <v>7.2508709999999994E-4</v>
      </c>
    </row>
    <row r="99" spans="1:22" s="124" customFormat="1" x14ac:dyDescent="0.2">
      <c r="A99" s="951"/>
      <c r="B99" s="687" t="s">
        <v>132</v>
      </c>
      <c r="C99" s="697">
        <v>1.7E-5</v>
      </c>
      <c r="D99" s="117">
        <v>1.0499999999999999E-5</v>
      </c>
      <c r="E99" s="117">
        <v>1.0499999999999999E-5</v>
      </c>
      <c r="F99" s="698">
        <f t="shared" si="41"/>
        <v>1.525E-6</v>
      </c>
      <c r="G99" s="692">
        <f t="shared" si="42"/>
        <v>2.9299999999999999E-7</v>
      </c>
      <c r="H99" s="117">
        <f>D99*$B$70</f>
        <v>1.3184529123959856E-6</v>
      </c>
      <c r="I99" s="117">
        <f>E99*$B$73</f>
        <v>1.5382499999999998E-6</v>
      </c>
      <c r="J99" s="704">
        <f t="shared" si="43"/>
        <v>2.9299999999999999E-7</v>
      </c>
      <c r="K99" s="697">
        <f t="shared" si="44"/>
        <v>1.2833399999999999E-6</v>
      </c>
      <c r="L99" s="117">
        <f>H99*8760/2000*H$69</f>
        <v>5.7748237562944172E-6</v>
      </c>
      <c r="M99" s="117">
        <f t="shared" si="38"/>
        <v>6.7375349999999994E-6</v>
      </c>
      <c r="N99" s="698">
        <f t="shared" si="45"/>
        <v>1.2833399999999999E-6</v>
      </c>
      <c r="O99" s="709">
        <f t="shared" si="35"/>
        <v>1.5382499999999998E-6</v>
      </c>
      <c r="P99" s="158">
        <f t="shared" si="46"/>
        <v>6.7375349999999994E-6</v>
      </c>
      <c r="Q99" s="340">
        <f t="shared" si="36"/>
        <v>6.7375349999999994E-6</v>
      </c>
    </row>
    <row r="100" spans="1:22" s="124" customFormat="1" ht="12.75" customHeight="1" x14ac:dyDescent="0.2">
      <c r="A100" s="951"/>
      <c r="B100" s="687" t="s">
        <v>242</v>
      </c>
      <c r="C100" s="697"/>
      <c r="D100" s="117"/>
      <c r="E100" s="117"/>
      <c r="F100" s="698"/>
      <c r="G100" s="692"/>
      <c r="H100" s="117"/>
      <c r="I100" s="117"/>
      <c r="J100" s="704"/>
      <c r="K100" s="697"/>
      <c r="L100" s="117"/>
      <c r="M100" s="117"/>
      <c r="N100" s="698"/>
      <c r="O100" s="709"/>
      <c r="P100" s="158"/>
      <c r="Q100" s="340">
        <f t="shared" si="36"/>
        <v>0</v>
      </c>
    </row>
    <row r="101" spans="1:22" s="124" customFormat="1" x14ac:dyDescent="0.2">
      <c r="A101" s="951"/>
      <c r="B101" s="687" t="s">
        <v>133</v>
      </c>
      <c r="C101" s="697">
        <v>5.0000000000000004E-6</v>
      </c>
      <c r="D101" s="117">
        <v>4.25E-6</v>
      </c>
      <c r="E101" s="117">
        <v>4.25E-6</v>
      </c>
      <c r="F101" s="698">
        <f>C101/$H$71*$H$74*1000</f>
        <v>4.4852941176470594E-7</v>
      </c>
      <c r="G101" s="692">
        <f>C101*$B$71</f>
        <v>8.6176470588235293E-8</v>
      </c>
      <c r="H101" s="117">
        <f t="shared" ref="H101:H108" si="47">D101*$B$70</f>
        <v>5.3365951216027997E-7</v>
      </c>
      <c r="I101" s="117">
        <f t="shared" ref="I101:I113" si="48">E101*$B$73</f>
        <v>6.2262499999999993E-7</v>
      </c>
      <c r="J101" s="704">
        <f>G101</f>
        <v>8.6176470588235293E-8</v>
      </c>
      <c r="K101" s="697">
        <f>G101*8760/2000</f>
        <v>3.7745294117647059E-7</v>
      </c>
      <c r="L101" s="117">
        <f t="shared" ref="L101:L108" si="49">H101*8760/2000*H$69</f>
        <v>2.3374286632620264E-6</v>
      </c>
      <c r="M101" s="117">
        <f t="shared" si="38"/>
        <v>2.7270974999999995E-6</v>
      </c>
      <c r="N101" s="698">
        <f>J101*8760/2000</f>
        <v>3.7745294117647059E-7</v>
      </c>
      <c r="O101" s="709">
        <f t="shared" ref="O101:O129" si="50">MAX(G101:J101)</f>
        <v>6.2262499999999993E-7</v>
      </c>
      <c r="P101" s="158">
        <f t="shared" ref="P101:P102" si="51">O101*8760/2000</f>
        <v>2.7270974999999995E-6</v>
      </c>
      <c r="Q101" s="340">
        <f t="shared" si="36"/>
        <v>2.7270974999999995E-6</v>
      </c>
    </row>
    <row r="102" spans="1:22" s="124" customFormat="1" x14ac:dyDescent="0.2">
      <c r="A102" s="951"/>
      <c r="B102" s="687" t="s">
        <v>134</v>
      </c>
      <c r="C102" s="697">
        <v>3.3999999999999998E-3</v>
      </c>
      <c r="D102" s="117">
        <v>6.1999999999999998E-3</v>
      </c>
      <c r="E102" s="117">
        <v>6.1999999999999998E-3</v>
      </c>
      <c r="F102" s="698">
        <f>C102/$H$71*$H$74*1000</f>
        <v>3.0499999999999999E-4</v>
      </c>
      <c r="G102" s="692">
        <f>C102*$B$71</f>
        <v>5.8599999999999988E-5</v>
      </c>
      <c r="H102" s="117">
        <f t="shared" si="47"/>
        <v>7.7851505303382009E-4</v>
      </c>
      <c r="I102" s="117">
        <f t="shared" si="48"/>
        <v>9.0829999999999991E-4</v>
      </c>
      <c r="J102" s="704">
        <f>G102</f>
        <v>5.8599999999999988E-5</v>
      </c>
      <c r="K102" s="697">
        <f>G102*8760/2000</f>
        <v>2.5666799999999994E-4</v>
      </c>
      <c r="L102" s="117">
        <f t="shared" si="49"/>
        <v>3.4098959322881321E-3</v>
      </c>
      <c r="M102" s="117">
        <f t="shared" si="38"/>
        <v>3.9783539999999999E-3</v>
      </c>
      <c r="N102" s="698">
        <f>J102*8760/2000</f>
        <v>2.5666799999999994E-4</v>
      </c>
      <c r="O102" s="709">
        <f t="shared" si="50"/>
        <v>9.0829999999999991E-4</v>
      </c>
      <c r="P102" s="158">
        <f t="shared" si="51"/>
        <v>3.9783539999999999E-3</v>
      </c>
      <c r="Q102" s="340">
        <f t="shared" si="36"/>
        <v>3.9783539999999999E-3</v>
      </c>
    </row>
    <row r="103" spans="1:22" s="124" customFormat="1" x14ac:dyDescent="0.2">
      <c r="A103" s="951"/>
      <c r="B103" s="687" t="s">
        <v>240</v>
      </c>
      <c r="C103" s="697"/>
      <c r="D103" s="117">
        <v>2.3599999999999999E-4</v>
      </c>
      <c r="E103" s="117">
        <v>2.3599999999999999E-4</v>
      </c>
      <c r="F103" s="698"/>
      <c r="G103" s="692"/>
      <c r="H103" s="117">
        <f t="shared" si="47"/>
        <v>2.9633798792900249E-5</v>
      </c>
      <c r="I103" s="117">
        <f t="shared" si="48"/>
        <v>3.4573999999999998E-5</v>
      </c>
      <c r="J103" s="704"/>
      <c r="K103" s="697"/>
      <c r="L103" s="117">
        <f t="shared" si="49"/>
        <v>1.2979603871290311E-4</v>
      </c>
      <c r="M103" s="117">
        <f t="shared" si="38"/>
        <v>1.5143411999999997E-4</v>
      </c>
      <c r="N103" s="698"/>
      <c r="O103" s="709">
        <f t="shared" si="50"/>
        <v>3.4573999999999998E-5</v>
      </c>
      <c r="P103" s="158">
        <f>O103*8760/2000</f>
        <v>1.5143411999999997E-4</v>
      </c>
      <c r="Q103" s="340">
        <f t="shared" si="36"/>
        <v>1.5143411999999997E-4</v>
      </c>
    </row>
    <row r="104" spans="1:22" s="124" customFormat="1" x14ac:dyDescent="0.2">
      <c r="A104" s="951"/>
      <c r="B104" s="687" t="s">
        <v>135</v>
      </c>
      <c r="C104" s="697"/>
      <c r="D104" s="117">
        <v>1.0900000000000001E-4</v>
      </c>
      <c r="E104" s="117">
        <v>1.0900000000000001E-4</v>
      </c>
      <c r="F104" s="698"/>
      <c r="G104" s="692"/>
      <c r="H104" s="117">
        <f t="shared" si="47"/>
        <v>1.368679690011071E-5</v>
      </c>
      <c r="I104" s="117">
        <f t="shared" si="48"/>
        <v>1.5968500000000001E-5</v>
      </c>
      <c r="J104" s="704"/>
      <c r="K104" s="697"/>
      <c r="L104" s="117">
        <f t="shared" si="49"/>
        <v>5.9948170422484911E-5</v>
      </c>
      <c r="M104" s="117">
        <f t="shared" si="38"/>
        <v>6.9942030000000004E-5</v>
      </c>
      <c r="N104" s="698"/>
      <c r="O104" s="709">
        <f t="shared" si="50"/>
        <v>1.5968500000000001E-5</v>
      </c>
      <c r="P104" s="158">
        <f t="shared" ref="P104:P112" si="52">O104*8760/2000</f>
        <v>6.9942030000000004E-5</v>
      </c>
      <c r="Q104" s="340">
        <f t="shared" si="36"/>
        <v>6.9942030000000004E-5</v>
      </c>
    </row>
    <row r="105" spans="1:22" s="124" customFormat="1" x14ac:dyDescent="0.2">
      <c r="A105" s="951"/>
      <c r="B105" s="687" t="s">
        <v>137</v>
      </c>
      <c r="C105" s="697">
        <v>2.0000000000000001E-4</v>
      </c>
      <c r="D105" s="117">
        <f>(0.000004)*$H$70/1000</f>
        <v>5.6002E-10</v>
      </c>
      <c r="E105" s="117">
        <f>(0.000004)*$H$70/1000</f>
        <v>5.6002E-10</v>
      </c>
      <c r="F105" s="698">
        <f t="shared" ref="F105:F113" si="53">C105/$H$71*$H$74*1000</f>
        <v>1.7941176470588237E-5</v>
      </c>
      <c r="G105" s="692">
        <f t="shared" ref="G105:G113" si="54">C105*$B$71</f>
        <v>3.4470588235294115E-6</v>
      </c>
      <c r="H105" s="117">
        <f t="shared" si="47"/>
        <v>7.0319999999999996E-11</v>
      </c>
      <c r="I105" s="117">
        <f t="shared" si="48"/>
        <v>8.2042929999999994E-11</v>
      </c>
      <c r="J105" s="704">
        <f t="shared" ref="J105:J113" si="55">G105</f>
        <v>3.4470588235294115E-6</v>
      </c>
      <c r="K105" s="697">
        <f t="shared" ref="K105:K129" si="56">G105*8760/2000</f>
        <v>1.5098117647058823E-5</v>
      </c>
      <c r="L105" s="117">
        <f t="shared" si="49"/>
        <v>3.0800159999999996E-10</v>
      </c>
      <c r="M105" s="117">
        <f t="shared" si="38"/>
        <v>3.5934803339999999E-10</v>
      </c>
      <c r="N105" s="698">
        <f t="shared" ref="N105:N128" si="57">J105*8760/2000</f>
        <v>1.5098117647058823E-5</v>
      </c>
      <c r="O105" s="709">
        <f t="shared" si="50"/>
        <v>3.4470588235294115E-6</v>
      </c>
      <c r="P105" s="158">
        <f t="shared" si="52"/>
        <v>1.5098117647058823E-5</v>
      </c>
      <c r="Q105" s="340">
        <f t="shared" si="36"/>
        <v>1.5098117647058823E-5</v>
      </c>
      <c r="V105" s="150"/>
    </row>
    <row r="106" spans="1:22" s="124" customFormat="1" x14ac:dyDescent="0.2">
      <c r="A106" s="951"/>
      <c r="B106" s="687" t="s">
        <v>138</v>
      </c>
      <c r="C106" s="697">
        <v>1.2E-5</v>
      </c>
      <c r="D106" s="117">
        <f t="shared" ref="D106:E108" si="58">(0.000003)*$H$70/1000</f>
        <v>4.2001499999999997E-10</v>
      </c>
      <c r="E106" s="117">
        <f t="shared" si="58"/>
        <v>4.2001499999999997E-10</v>
      </c>
      <c r="F106" s="698">
        <f t="shared" si="53"/>
        <v>1.0764705882352939E-6</v>
      </c>
      <c r="G106" s="692">
        <f t="shared" si="54"/>
        <v>2.068235294117647E-7</v>
      </c>
      <c r="H106" s="117">
        <f t="shared" si="47"/>
        <v>5.2739999999999991E-11</v>
      </c>
      <c r="I106" s="117">
        <f t="shared" si="48"/>
        <v>6.1532197499999998E-11</v>
      </c>
      <c r="J106" s="704">
        <f t="shared" si="55"/>
        <v>2.068235294117647E-7</v>
      </c>
      <c r="K106" s="697">
        <f t="shared" si="56"/>
        <v>9.0588705882352931E-7</v>
      </c>
      <c r="L106" s="117">
        <f t="shared" si="49"/>
        <v>2.3100119999999995E-10</v>
      </c>
      <c r="M106" s="117">
        <f t="shared" si="38"/>
        <v>2.6951102504999996E-10</v>
      </c>
      <c r="N106" s="698">
        <f t="shared" si="57"/>
        <v>9.0588705882352931E-7</v>
      </c>
      <c r="O106" s="709">
        <f t="shared" si="50"/>
        <v>2.068235294117647E-7</v>
      </c>
      <c r="P106" s="158">
        <f t="shared" si="52"/>
        <v>9.0588705882352931E-7</v>
      </c>
      <c r="Q106" s="340">
        <f t="shared" si="36"/>
        <v>9.0588705882352931E-7</v>
      </c>
      <c r="V106" s="150"/>
    </row>
    <row r="107" spans="1:22" s="124" customFormat="1" x14ac:dyDescent="0.2">
      <c r="A107" s="951"/>
      <c r="B107" s="687" t="s">
        <v>139</v>
      </c>
      <c r="C107" s="697">
        <v>1.1000000000000001E-3</v>
      </c>
      <c r="D107" s="117">
        <f t="shared" si="58"/>
        <v>4.2001499999999997E-10</v>
      </c>
      <c r="E107" s="117">
        <f t="shared" si="58"/>
        <v>4.2001499999999997E-10</v>
      </c>
      <c r="F107" s="698">
        <f t="shared" si="53"/>
        <v>9.8676470588235292E-5</v>
      </c>
      <c r="G107" s="692">
        <f t="shared" si="54"/>
        <v>1.8958823529411765E-5</v>
      </c>
      <c r="H107" s="117">
        <f t="shared" si="47"/>
        <v>5.2739999999999991E-11</v>
      </c>
      <c r="I107" s="117">
        <f t="shared" si="48"/>
        <v>6.1532197499999998E-11</v>
      </c>
      <c r="J107" s="704">
        <f t="shared" si="55"/>
        <v>1.8958823529411765E-5</v>
      </c>
      <c r="K107" s="697">
        <f t="shared" si="56"/>
        <v>8.3039647058823544E-5</v>
      </c>
      <c r="L107" s="117">
        <f t="shared" si="49"/>
        <v>2.3100119999999995E-10</v>
      </c>
      <c r="M107" s="117">
        <f t="shared" si="38"/>
        <v>2.6951102504999996E-10</v>
      </c>
      <c r="N107" s="698">
        <f t="shared" si="57"/>
        <v>8.3039647058823544E-5</v>
      </c>
      <c r="O107" s="709">
        <f t="shared" si="50"/>
        <v>1.8958823529411765E-5</v>
      </c>
      <c r="P107" s="158">
        <f t="shared" si="52"/>
        <v>8.3039647058823544E-5</v>
      </c>
      <c r="Q107" s="340">
        <f t="shared" si="36"/>
        <v>8.3039647058823544E-5</v>
      </c>
      <c r="V107" s="150"/>
    </row>
    <row r="108" spans="1:22" s="124" customFormat="1" x14ac:dyDescent="0.2">
      <c r="A108" s="951"/>
      <c r="B108" s="687" t="s">
        <v>140</v>
      </c>
      <c r="C108" s="697">
        <v>1.4E-3</v>
      </c>
      <c r="D108" s="117">
        <f t="shared" si="58"/>
        <v>4.2001499999999997E-10</v>
      </c>
      <c r="E108" s="117">
        <f t="shared" si="58"/>
        <v>4.2001499999999997E-10</v>
      </c>
      <c r="F108" s="698">
        <f t="shared" si="53"/>
        <v>1.2558823529411765E-4</v>
      </c>
      <c r="G108" s="692">
        <f t="shared" si="54"/>
        <v>2.4129411764705878E-5</v>
      </c>
      <c r="H108" s="117">
        <f t="shared" si="47"/>
        <v>5.2739999999999991E-11</v>
      </c>
      <c r="I108" s="117">
        <f t="shared" si="48"/>
        <v>6.1532197499999998E-11</v>
      </c>
      <c r="J108" s="704">
        <f t="shared" si="55"/>
        <v>2.4129411764705878E-5</v>
      </c>
      <c r="K108" s="697">
        <f t="shared" si="56"/>
        <v>1.0568682352941176E-4</v>
      </c>
      <c r="L108" s="117">
        <f t="shared" si="49"/>
        <v>2.3100119999999995E-10</v>
      </c>
      <c r="M108" s="117">
        <f t="shared" si="38"/>
        <v>2.6951102504999996E-10</v>
      </c>
      <c r="N108" s="698">
        <f t="shared" si="57"/>
        <v>1.0568682352941176E-4</v>
      </c>
      <c r="O108" s="709">
        <f t="shared" si="50"/>
        <v>2.4129411764705878E-5</v>
      </c>
      <c r="P108" s="158">
        <f t="shared" si="52"/>
        <v>1.0568682352941176E-4</v>
      </c>
      <c r="Q108" s="340">
        <f t="shared" si="36"/>
        <v>1.0568682352941176E-4</v>
      </c>
      <c r="V108" s="150"/>
    </row>
    <row r="109" spans="1:22" s="124" customFormat="1" x14ac:dyDescent="0.2">
      <c r="A109" s="951"/>
      <c r="B109" s="687" t="s">
        <v>141</v>
      </c>
      <c r="C109" s="697">
        <v>8.3999999999999995E-5</v>
      </c>
      <c r="D109" s="117"/>
      <c r="E109" s="117"/>
      <c r="F109" s="698">
        <f t="shared" si="53"/>
        <v>7.535294117647058E-6</v>
      </c>
      <c r="G109" s="692">
        <f t="shared" si="54"/>
        <v>1.4477647058823526E-6</v>
      </c>
      <c r="H109" s="117"/>
      <c r="I109" s="117">
        <f t="shared" si="48"/>
        <v>0</v>
      </c>
      <c r="J109" s="704">
        <f t="shared" si="55"/>
        <v>1.4477647058823526E-6</v>
      </c>
      <c r="K109" s="697">
        <f t="shared" si="56"/>
        <v>6.3412094117647046E-6</v>
      </c>
      <c r="L109" s="117"/>
      <c r="M109" s="117"/>
      <c r="N109" s="698">
        <f t="shared" si="57"/>
        <v>6.3412094117647046E-6</v>
      </c>
      <c r="O109" s="709">
        <f t="shared" si="50"/>
        <v>1.4477647058823526E-6</v>
      </c>
      <c r="P109" s="158">
        <f t="shared" si="52"/>
        <v>6.3412094117647046E-6</v>
      </c>
      <c r="Q109" s="340">
        <f t="shared" ref="Q109:Q127" si="59">MAX(K109:N109)</f>
        <v>6.3412094117647046E-6</v>
      </c>
      <c r="V109" s="150"/>
    </row>
    <row r="110" spans="1:22" s="124" customFormat="1" x14ac:dyDescent="0.2">
      <c r="A110" s="951"/>
      <c r="B110" s="687" t="s">
        <v>142</v>
      </c>
      <c r="C110" s="697">
        <v>3.8000000000000002E-4</v>
      </c>
      <c r="D110" s="117">
        <f>(0.000006)*$H$70/1000</f>
        <v>8.4002999999999994E-10</v>
      </c>
      <c r="E110" s="117">
        <f>(0.000006)*$H$70/1000</f>
        <v>8.4002999999999994E-10</v>
      </c>
      <c r="F110" s="698">
        <f t="shared" si="53"/>
        <v>3.4088235294117648E-5</v>
      </c>
      <c r="G110" s="692">
        <f t="shared" si="54"/>
        <v>6.5494117647058819E-6</v>
      </c>
      <c r="H110" s="117">
        <f>D110*$B$70</f>
        <v>1.0547999999999998E-10</v>
      </c>
      <c r="I110" s="117">
        <f t="shared" si="48"/>
        <v>1.23064395E-10</v>
      </c>
      <c r="J110" s="704">
        <f t="shared" si="55"/>
        <v>6.5494117647058819E-6</v>
      </c>
      <c r="K110" s="697">
        <f t="shared" si="56"/>
        <v>2.8686423529411763E-5</v>
      </c>
      <c r="L110" s="117">
        <f t="shared" ref="L110:L123" si="60">H110*8760/2000*H$69</f>
        <v>4.6200239999999989E-10</v>
      </c>
      <c r="M110" s="117">
        <f t="shared" si="38"/>
        <v>5.3902205009999993E-10</v>
      </c>
      <c r="N110" s="698">
        <f t="shared" si="57"/>
        <v>2.8686423529411763E-5</v>
      </c>
      <c r="O110" s="709">
        <f t="shared" si="50"/>
        <v>6.5494117647058819E-6</v>
      </c>
      <c r="P110" s="158">
        <f t="shared" si="52"/>
        <v>2.8686423529411763E-5</v>
      </c>
      <c r="Q110" s="340">
        <f t="shared" si="59"/>
        <v>2.8686423529411763E-5</v>
      </c>
      <c r="V110" s="150"/>
    </row>
    <row r="111" spans="1:22" s="124" customFormat="1" x14ac:dyDescent="0.2">
      <c r="A111" s="951"/>
      <c r="B111" s="687" t="s">
        <v>143</v>
      </c>
      <c r="C111" s="699">
        <v>2.5999999999999998E-4</v>
      </c>
      <c r="D111" s="117">
        <f>(0.000003)*$H$70/1000</f>
        <v>4.2001499999999997E-10</v>
      </c>
      <c r="E111" s="117">
        <f>(0.000003)*$H$70/1000</f>
        <v>4.2001499999999997E-10</v>
      </c>
      <c r="F111" s="698">
        <f t="shared" si="53"/>
        <v>2.3323529411764705E-5</v>
      </c>
      <c r="G111" s="692">
        <f t="shared" si="54"/>
        <v>4.4811764705882347E-6</v>
      </c>
      <c r="H111" s="117">
        <f>D111*$B$70</f>
        <v>5.2739999999999991E-11</v>
      </c>
      <c r="I111" s="117">
        <f t="shared" si="48"/>
        <v>6.1532197499999998E-11</v>
      </c>
      <c r="J111" s="704">
        <f t="shared" si="55"/>
        <v>4.4811764705882347E-6</v>
      </c>
      <c r="K111" s="697">
        <f t="shared" si="56"/>
        <v>1.9627552941176469E-5</v>
      </c>
      <c r="L111" s="117">
        <f t="shared" si="60"/>
        <v>2.3100119999999995E-10</v>
      </c>
      <c r="M111" s="117">
        <f t="shared" si="38"/>
        <v>2.6951102504999996E-10</v>
      </c>
      <c r="N111" s="698">
        <f t="shared" si="57"/>
        <v>1.9627552941176469E-5</v>
      </c>
      <c r="O111" s="709">
        <f t="shared" si="50"/>
        <v>4.4811764705882347E-6</v>
      </c>
      <c r="P111" s="162">
        <f t="shared" si="52"/>
        <v>1.9627552941176469E-5</v>
      </c>
      <c r="Q111" s="340">
        <f t="shared" si="59"/>
        <v>1.9627552941176469E-5</v>
      </c>
      <c r="R111" s="152"/>
      <c r="S111" s="119"/>
      <c r="T111" s="119"/>
      <c r="U111" s="119"/>
      <c r="V111" s="152"/>
    </row>
    <row r="112" spans="1:22" s="124" customFormat="1" x14ac:dyDescent="0.2">
      <c r="A112" s="951"/>
      <c r="B112" s="687" t="s">
        <v>144</v>
      </c>
      <c r="C112" s="697">
        <v>2.0999999999999999E-3</v>
      </c>
      <c r="D112" s="117">
        <f>(0.000003)*$H$70/1000</f>
        <v>4.2001499999999997E-10</v>
      </c>
      <c r="E112" s="117">
        <f>(0.000003)*$H$70/1000</f>
        <v>4.2001499999999997E-10</v>
      </c>
      <c r="F112" s="698">
        <f t="shared" si="53"/>
        <v>1.8838235294117646E-4</v>
      </c>
      <c r="G112" s="692">
        <f t="shared" si="54"/>
        <v>3.6194117647058815E-5</v>
      </c>
      <c r="H112" s="117">
        <f>D112*$B$70</f>
        <v>5.2739999999999991E-11</v>
      </c>
      <c r="I112" s="117">
        <f t="shared" si="48"/>
        <v>6.1532197499999998E-11</v>
      </c>
      <c r="J112" s="704">
        <f t="shared" si="55"/>
        <v>3.6194117647058815E-5</v>
      </c>
      <c r="K112" s="697">
        <f t="shared" si="56"/>
        <v>1.5853023529411762E-4</v>
      </c>
      <c r="L112" s="117">
        <f t="shared" si="60"/>
        <v>2.3100119999999995E-10</v>
      </c>
      <c r="M112" s="117">
        <f t="shared" si="38"/>
        <v>2.6951102504999996E-10</v>
      </c>
      <c r="N112" s="698">
        <f t="shared" si="57"/>
        <v>1.5853023529411762E-4</v>
      </c>
      <c r="O112" s="709">
        <f t="shared" si="50"/>
        <v>3.6194117647058815E-5</v>
      </c>
      <c r="P112" s="158">
        <f t="shared" si="52"/>
        <v>1.5853023529411762E-4</v>
      </c>
      <c r="Q112" s="340">
        <f t="shared" si="59"/>
        <v>1.5853023529411762E-4</v>
      </c>
      <c r="S112" s="615" t="s">
        <v>600</v>
      </c>
      <c r="T112" s="119"/>
      <c r="U112" s="119"/>
      <c r="V112" s="155"/>
    </row>
    <row r="113" spans="1:24" s="124" customFormat="1" x14ac:dyDescent="0.2">
      <c r="A113" s="951"/>
      <c r="B113" s="687" t="s">
        <v>145</v>
      </c>
      <c r="C113" s="697">
        <v>2.4000000000000001E-5</v>
      </c>
      <c r="D113" s="117">
        <f>(0.000015)*$H$70/1000</f>
        <v>2.1000750000000001E-9</v>
      </c>
      <c r="E113" s="117">
        <f>(0.000015)*$H$70/1000</f>
        <v>2.1000750000000001E-9</v>
      </c>
      <c r="F113" s="698">
        <f t="shared" si="53"/>
        <v>2.1529411764705878E-6</v>
      </c>
      <c r="G113" s="692">
        <f t="shared" si="54"/>
        <v>4.1364705882352939E-7</v>
      </c>
      <c r="H113" s="117">
        <f>D113*$B$70</f>
        <v>2.6369999999999998E-10</v>
      </c>
      <c r="I113" s="117">
        <f t="shared" si="48"/>
        <v>3.0766098750000001E-10</v>
      </c>
      <c r="J113" s="704">
        <f t="shared" si="55"/>
        <v>4.1364705882352939E-7</v>
      </c>
      <c r="K113" s="697">
        <f t="shared" si="56"/>
        <v>1.8117741176470586E-6</v>
      </c>
      <c r="L113" s="117">
        <f t="shared" si="60"/>
        <v>1.1550059999999999E-9</v>
      </c>
      <c r="M113" s="117">
        <f t="shared" si="38"/>
        <v>1.34755512525E-9</v>
      </c>
      <c r="N113" s="698">
        <f t="shared" si="57"/>
        <v>1.8117741176470586E-6</v>
      </c>
      <c r="O113" s="709">
        <f t="shared" si="50"/>
        <v>4.1364705882352939E-7</v>
      </c>
      <c r="P113" s="158">
        <f>O113*8760/2000</f>
        <v>1.8117741176470586E-6</v>
      </c>
      <c r="Q113" s="340">
        <f t="shared" si="59"/>
        <v>1.8117741176470586E-6</v>
      </c>
      <c r="S113" s="615" t="s">
        <v>599</v>
      </c>
      <c r="V113" s="155"/>
    </row>
    <row r="114" spans="1:24" s="124" customFormat="1" x14ac:dyDescent="0.2">
      <c r="A114" s="951"/>
      <c r="B114" s="689" t="s">
        <v>146</v>
      </c>
      <c r="C114" s="697"/>
      <c r="D114" s="117"/>
      <c r="E114" s="117"/>
      <c r="F114" s="698"/>
      <c r="G114" s="167">
        <f>SUM(G77:G113)</f>
        <v>3.2560176529411761E-2</v>
      </c>
      <c r="H114" s="107">
        <f>SUM(H77:H113)</f>
        <v>5.1500853411772145E-3</v>
      </c>
      <c r="I114" s="107">
        <f>SUM(I77:I113)</f>
        <v>1.5257474849292999E-3</v>
      </c>
      <c r="J114" s="705">
        <f>SUM(J77:J113)</f>
        <v>3.2560176529411761E-2</v>
      </c>
      <c r="K114" s="660">
        <f t="shared" si="56"/>
        <v>0.14261357319882351</v>
      </c>
      <c r="L114" s="107">
        <f t="shared" si="60"/>
        <v>2.2557373794356197E-2</v>
      </c>
      <c r="M114" s="117">
        <f t="shared" si="38"/>
        <v>6.682773983990334E-3</v>
      </c>
      <c r="N114" s="657">
        <f t="shared" si="57"/>
        <v>0.14261357319882351</v>
      </c>
      <c r="O114" s="710">
        <f t="shared" si="50"/>
        <v>3.2560176529411761E-2</v>
      </c>
      <c r="P114" s="157">
        <f>O114*8760/2000</f>
        <v>0.14261357319882351</v>
      </c>
      <c r="Q114" s="341">
        <f t="shared" si="59"/>
        <v>0.14261357319882351</v>
      </c>
      <c r="S114" s="778">
        <f>Q114-'Combustion (Existing Calcs)'!I171</f>
        <v>0</v>
      </c>
      <c r="V114" s="145"/>
    </row>
    <row r="115" spans="1:24" s="124" customFormat="1" x14ac:dyDescent="0.2">
      <c r="A115" s="951"/>
      <c r="B115" s="689" t="s">
        <v>147</v>
      </c>
      <c r="C115" s="697">
        <v>5.0000000000000001E-4</v>
      </c>
      <c r="D115" s="117">
        <f>(0.000009)*$H$70/1000</f>
        <v>1.2600450000000001E-9</v>
      </c>
      <c r="E115" s="117">
        <f>(0.000009)*$H$70/1000</f>
        <v>1.2600450000000001E-9</v>
      </c>
      <c r="F115" s="698">
        <v>5.0000000000000001E-4</v>
      </c>
      <c r="G115" s="692">
        <f t="shared" ref="G115:G123" si="61">C115*$B$71</f>
        <v>8.6176470588235283E-6</v>
      </c>
      <c r="H115" s="117">
        <f>D115*$B$70</f>
        <v>1.5822E-10</v>
      </c>
      <c r="I115" s="117">
        <f t="shared" ref="I115:I122" si="62">E115*$B$73</f>
        <v>1.8459659250000001E-10</v>
      </c>
      <c r="J115" s="704">
        <f>G115</f>
        <v>8.6176470588235283E-6</v>
      </c>
      <c r="K115" s="697">
        <f t="shared" si="56"/>
        <v>3.7745294117647058E-5</v>
      </c>
      <c r="L115" s="117">
        <f t="shared" si="60"/>
        <v>6.930036E-10</v>
      </c>
      <c r="M115" s="117">
        <f t="shared" si="38"/>
        <v>8.0853307514999995E-10</v>
      </c>
      <c r="N115" s="698">
        <f t="shared" si="57"/>
        <v>3.7745294117647058E-5</v>
      </c>
      <c r="O115" s="709">
        <f t="shared" si="50"/>
        <v>8.6176470588235283E-6</v>
      </c>
      <c r="P115" s="158">
        <f>O115*8760/2000</f>
        <v>3.7745294117647058E-5</v>
      </c>
      <c r="Q115" s="342">
        <f t="shared" si="59"/>
        <v>3.7745294117647058E-5</v>
      </c>
      <c r="S115" s="778">
        <f>Q115-'Combustion (Existing Calcs)'!I172</f>
        <v>0</v>
      </c>
      <c r="V115" s="145"/>
    </row>
    <row r="116" spans="1:24" s="124" customFormat="1" x14ac:dyDescent="0.2">
      <c r="A116" s="951"/>
      <c r="B116" s="689" t="s">
        <v>148</v>
      </c>
      <c r="C116" s="697">
        <v>7.6</v>
      </c>
      <c r="D116" s="117">
        <f>2+1.3</f>
        <v>3.3</v>
      </c>
      <c r="E116" s="117">
        <f>'RAFVO Emission Factors'!F18</f>
        <v>1.9961013319672127</v>
      </c>
      <c r="F116" s="701">
        <v>0.7</v>
      </c>
      <c r="G116" s="693">
        <f t="shared" si="61"/>
        <v>0.13098823529411763</v>
      </c>
      <c r="H116" s="423">
        <f>D116*$B$70</f>
        <v>0.41437091532445264</v>
      </c>
      <c r="I116" s="107">
        <f t="shared" si="62"/>
        <v>0.29242884513319667</v>
      </c>
      <c r="J116" s="706">
        <f t="shared" ref="J116:J127" si="63">F116*$B$74</f>
        <v>0.13449180327868851</v>
      </c>
      <c r="K116" s="660">
        <f t="shared" si="56"/>
        <v>0.57372847058823517</v>
      </c>
      <c r="L116" s="107">
        <f t="shared" si="60"/>
        <v>1.8149446091211026</v>
      </c>
      <c r="M116" s="107">
        <f t="shared" si="38"/>
        <v>1.2808383416834015</v>
      </c>
      <c r="N116" s="657">
        <f t="shared" si="57"/>
        <v>0.58907409836065561</v>
      </c>
      <c r="O116" s="710">
        <f t="shared" si="50"/>
        <v>0.41437091532445264</v>
      </c>
      <c r="P116" s="157">
        <f>O116*8760/2000</f>
        <v>1.8149446091211026</v>
      </c>
      <c r="Q116" s="341">
        <f t="shared" si="59"/>
        <v>1.8149446091211026</v>
      </c>
      <c r="S116" s="778">
        <f>Q116-'Combustion (Existing Calcs)'!I173</f>
        <v>0</v>
      </c>
      <c r="V116" s="145"/>
    </row>
    <row r="117" spans="1:24" s="124" customFormat="1" ht="14.25" x14ac:dyDescent="0.25">
      <c r="A117" s="951"/>
      <c r="B117" s="689" t="s">
        <v>8</v>
      </c>
      <c r="C117" s="697">
        <v>7.6</v>
      </c>
      <c r="D117" s="117">
        <f>1+1.3</f>
        <v>2.2999999999999998</v>
      </c>
      <c r="E117" s="117">
        <f>'RAFVO Emission Factors'!F19</f>
        <v>1.765457004811295</v>
      </c>
      <c r="F117" s="698">
        <v>0.7</v>
      </c>
      <c r="G117" s="693">
        <f t="shared" si="61"/>
        <v>0.13098823529411763</v>
      </c>
      <c r="H117" s="423">
        <f>D117*$B$70</f>
        <v>0.28880397128673974</v>
      </c>
      <c r="I117" s="107">
        <f t="shared" si="62"/>
        <v>0.25863945120485471</v>
      </c>
      <c r="J117" s="706">
        <f t="shared" si="63"/>
        <v>0.13449180327868851</v>
      </c>
      <c r="K117" s="660">
        <f t="shared" si="56"/>
        <v>0.57372847058823517</v>
      </c>
      <c r="L117" s="107">
        <f t="shared" si="60"/>
        <v>1.2649613942359201</v>
      </c>
      <c r="M117" s="107">
        <f t="shared" si="38"/>
        <v>1.1328407962772638</v>
      </c>
      <c r="N117" s="657">
        <f t="shared" si="57"/>
        <v>0.58907409836065561</v>
      </c>
      <c r="O117" s="710">
        <f t="shared" si="50"/>
        <v>0.28880397128673974</v>
      </c>
      <c r="P117" s="157">
        <f t="shared" ref="P117:P120" si="64">O117*8760/2000</f>
        <v>1.2649613942359201</v>
      </c>
      <c r="Q117" s="341">
        <f t="shared" si="59"/>
        <v>1.2649613942359201</v>
      </c>
      <c r="S117" s="778">
        <f>Q117-'Combustion (Existing Calcs)'!I174</f>
        <v>0</v>
      </c>
      <c r="V117" s="145"/>
    </row>
    <row r="118" spans="1:24" s="124" customFormat="1" ht="14.25" x14ac:dyDescent="0.25">
      <c r="A118" s="951"/>
      <c r="B118" s="689" t="s">
        <v>7</v>
      </c>
      <c r="C118" s="697">
        <v>7.6</v>
      </c>
      <c r="D118" s="117">
        <f>0.25+1.3</f>
        <v>1.55</v>
      </c>
      <c r="E118" s="117">
        <f>'RAFVO Emission Factors'!F20</f>
        <v>1.2726272459311279</v>
      </c>
      <c r="F118" s="698">
        <v>0.7</v>
      </c>
      <c r="G118" s="693">
        <f t="shared" si="61"/>
        <v>0.13098823529411763</v>
      </c>
      <c r="H118" s="423">
        <f>D118*$B$70</f>
        <v>0.19462876325845505</v>
      </c>
      <c r="I118" s="107">
        <f t="shared" si="62"/>
        <v>0.18643989152891022</v>
      </c>
      <c r="J118" s="706">
        <f t="shared" si="63"/>
        <v>0.13449180327868851</v>
      </c>
      <c r="K118" s="660">
        <f t="shared" si="56"/>
        <v>0.57372847058823517</v>
      </c>
      <c r="L118" s="107">
        <f t="shared" si="60"/>
        <v>0.85247398307203315</v>
      </c>
      <c r="M118" s="107">
        <f t="shared" si="38"/>
        <v>0.81660672489662667</v>
      </c>
      <c r="N118" s="657">
        <f t="shared" si="57"/>
        <v>0.58907409836065561</v>
      </c>
      <c r="O118" s="710">
        <f>MAX(G118:J118)</f>
        <v>0.19462876325845505</v>
      </c>
      <c r="P118" s="157">
        <f t="shared" si="64"/>
        <v>0.85247398307203315</v>
      </c>
      <c r="Q118" s="341">
        <f t="shared" si="59"/>
        <v>0.85247398307203315</v>
      </c>
      <c r="R118" s="424"/>
      <c r="S118" s="778">
        <f>Q118-'Combustion (Existing Calcs)'!I175</f>
        <v>0</v>
      </c>
      <c r="V118" s="145"/>
    </row>
    <row r="119" spans="1:24" s="124" customFormat="1" ht="14.25" x14ac:dyDescent="0.25">
      <c r="A119" s="951"/>
      <c r="B119" s="689" t="s">
        <v>220</v>
      </c>
      <c r="C119" s="697">
        <v>0.6</v>
      </c>
      <c r="D119" s="117">
        <f>142*L70</f>
        <v>7.1000000000000005</v>
      </c>
      <c r="E119" s="117">
        <f>150*L75</f>
        <v>15</v>
      </c>
      <c r="F119" s="701">
        <f>0.1*L74</f>
        <v>1.5</v>
      </c>
      <c r="G119" s="694">
        <f t="shared" si="61"/>
        <v>1.0341176470588234E-2</v>
      </c>
      <c r="H119" s="107">
        <f>D119*$B$70</f>
        <v>0.89152530266776187</v>
      </c>
      <c r="I119" s="107">
        <f t="shared" si="62"/>
        <v>2.1974999999999998</v>
      </c>
      <c r="J119" s="705">
        <f t="shared" si="63"/>
        <v>0.28819672131147539</v>
      </c>
      <c r="K119" s="714">
        <f t="shared" si="56"/>
        <v>4.5294352941176466E-2</v>
      </c>
      <c r="L119" s="107">
        <f t="shared" si="60"/>
        <v>3.9048808256847969</v>
      </c>
      <c r="M119" s="107">
        <f t="shared" si="38"/>
        <v>9.6250499999999999</v>
      </c>
      <c r="N119" s="657">
        <f t="shared" si="57"/>
        <v>1.2623016393442621</v>
      </c>
      <c r="O119" s="711">
        <f t="shared" si="50"/>
        <v>2.1974999999999998</v>
      </c>
      <c r="P119" s="161">
        <f t="shared" si="64"/>
        <v>9.6250499999999999</v>
      </c>
      <c r="Q119" s="341">
        <f t="shared" si="59"/>
        <v>9.6250499999999999</v>
      </c>
      <c r="S119" s="778">
        <f>Q119-'Combustion (Existing Calcs)'!I176</f>
        <v>-29.423758256847961</v>
      </c>
      <c r="V119" s="145"/>
    </row>
    <row r="120" spans="1:24" s="124" customFormat="1" x14ac:dyDescent="0.2">
      <c r="A120" s="951"/>
      <c r="B120" s="689" t="s">
        <v>152</v>
      </c>
      <c r="C120" s="697">
        <v>100</v>
      </c>
      <c r="D120" s="117">
        <v>20</v>
      </c>
      <c r="E120" s="117">
        <f>'RAFVO Emission Factors'!F22</f>
        <v>21.428734887295079</v>
      </c>
      <c r="F120" s="698">
        <v>13</v>
      </c>
      <c r="G120" s="167">
        <f t="shared" si="61"/>
        <v>1.7235294117647058</v>
      </c>
      <c r="H120" s="107">
        <f>D120*$B$70*$H$69</f>
        <v>2.5113388807542587</v>
      </c>
      <c r="I120" s="107">
        <f t="shared" si="62"/>
        <v>3.139309660988729</v>
      </c>
      <c r="J120" s="705">
        <f t="shared" si="63"/>
        <v>2.4977049180327868</v>
      </c>
      <c r="K120" s="714">
        <f t="shared" si="56"/>
        <v>7.5490588235294105</v>
      </c>
      <c r="L120" s="107">
        <f t="shared" si="60"/>
        <v>10.999664297703653</v>
      </c>
      <c r="M120" s="107">
        <f t="shared" si="38"/>
        <v>13.750176315130632</v>
      </c>
      <c r="N120" s="657">
        <f t="shared" si="57"/>
        <v>10.939947540983606</v>
      </c>
      <c r="O120" s="711">
        <f t="shared" si="50"/>
        <v>3.139309660988729</v>
      </c>
      <c r="P120" s="161">
        <f t="shared" si="64"/>
        <v>13.750176315130632</v>
      </c>
      <c r="Q120" s="341">
        <f t="shared" si="59"/>
        <v>13.750176315130632</v>
      </c>
      <c r="S120" s="778">
        <f>Q120-'Combustion (Existing Calcs)'!I177</f>
        <v>2.7505120174269795</v>
      </c>
      <c r="T120" s="119"/>
      <c r="U120" s="119"/>
      <c r="V120" s="146"/>
    </row>
    <row r="121" spans="1:24" s="124" customFormat="1" x14ac:dyDescent="0.2">
      <c r="A121" s="951"/>
      <c r="B121" s="689" t="s">
        <v>6</v>
      </c>
      <c r="C121" s="697">
        <v>5.5</v>
      </c>
      <c r="D121" s="117">
        <v>0.34</v>
      </c>
      <c r="E121" s="117">
        <f>'RAFVO Emission Factors'!F23</f>
        <v>2.0302536937958401E-2</v>
      </c>
      <c r="F121" s="698">
        <f>1-0.2</f>
        <v>0.8</v>
      </c>
      <c r="G121" s="167">
        <f t="shared" si="61"/>
        <v>9.4794117647058806E-2</v>
      </c>
      <c r="H121" s="107">
        <f>D121*$B$70*$H$69</f>
        <v>4.2692760972822402E-2</v>
      </c>
      <c r="I121" s="107">
        <f t="shared" si="62"/>
        <v>2.9743216614109055E-3</v>
      </c>
      <c r="J121" s="705">
        <f t="shared" si="63"/>
        <v>0.15370491803278688</v>
      </c>
      <c r="K121" s="714">
        <f t="shared" si="56"/>
        <v>0.41519823529411759</v>
      </c>
      <c r="L121" s="107">
        <f t="shared" si="60"/>
        <v>0.18699429306096213</v>
      </c>
      <c r="M121" s="107">
        <f t="shared" si="38"/>
        <v>1.3027528876979765E-2</v>
      </c>
      <c r="N121" s="657">
        <f t="shared" si="57"/>
        <v>0.6732275409836066</v>
      </c>
      <c r="O121" s="711">
        <f t="shared" si="50"/>
        <v>0.15370491803278688</v>
      </c>
      <c r="P121" s="161">
        <f>O121*8760/2000</f>
        <v>0.6732275409836066</v>
      </c>
      <c r="Q121" s="341">
        <f t="shared" si="59"/>
        <v>0.6732275409836066</v>
      </c>
      <c r="S121" s="778">
        <f>Q121-'Combustion (Existing Calcs)'!I178</f>
        <v>0.25802930568948901</v>
      </c>
      <c r="U121" s="122"/>
      <c r="V121" s="145"/>
    </row>
    <row r="122" spans="1:24" s="124" customFormat="1" x14ac:dyDescent="0.2">
      <c r="A122" s="951"/>
      <c r="B122" s="689" t="s">
        <v>189</v>
      </c>
      <c r="C122" s="697">
        <v>84</v>
      </c>
      <c r="D122" s="120">
        <v>5</v>
      </c>
      <c r="E122" s="117">
        <f>'RAFVO Emission Factors'!F21</f>
        <v>5.8471306381320201</v>
      </c>
      <c r="F122" s="698">
        <v>7.5</v>
      </c>
      <c r="G122" s="167">
        <f t="shared" si="61"/>
        <v>1.4477647058823528</v>
      </c>
      <c r="H122" s="107">
        <f>D122*$B$70*$H$69</f>
        <v>0.62783472018856468</v>
      </c>
      <c r="I122" s="107">
        <f t="shared" si="62"/>
        <v>0.85660463848634094</v>
      </c>
      <c r="J122" s="705">
        <f t="shared" si="63"/>
        <v>1.4409836065573769</v>
      </c>
      <c r="K122" s="714">
        <f t="shared" si="56"/>
        <v>6.341209411764706</v>
      </c>
      <c r="L122" s="107">
        <f t="shared" si="60"/>
        <v>2.7499160744259132</v>
      </c>
      <c r="M122" s="107">
        <f t="shared" si="38"/>
        <v>3.7519283165701731</v>
      </c>
      <c r="N122" s="657">
        <f t="shared" si="57"/>
        <v>6.3115081967213111</v>
      </c>
      <c r="O122" s="711">
        <f t="shared" si="50"/>
        <v>1.4477647058823528</v>
      </c>
      <c r="P122" s="161">
        <f t="shared" ref="P122" si="65">O122*8760/2000</f>
        <v>6.341209411764706</v>
      </c>
      <c r="Q122" s="341">
        <f t="shared" si="59"/>
        <v>6.341209411764706</v>
      </c>
      <c r="S122" s="778">
        <f>Q122-'Combustion (Existing Calcs)'!I179</f>
        <v>0</v>
      </c>
      <c r="U122" s="122"/>
      <c r="V122" s="156"/>
    </row>
    <row r="123" spans="1:24" s="124" customFormat="1" ht="14.25" x14ac:dyDescent="0.25">
      <c r="A123" s="951"/>
      <c r="B123" s="689" t="s">
        <v>237</v>
      </c>
      <c r="C123" s="697">
        <v>120000</v>
      </c>
      <c r="D123" s="117">
        <v>22300</v>
      </c>
      <c r="E123" s="746"/>
      <c r="F123" s="698">
        <v>12500</v>
      </c>
      <c r="G123" s="695">
        <f t="shared" si="61"/>
        <v>2068.2352941176468</v>
      </c>
      <c r="H123" s="321">
        <f>D123*$B$70*$H$69</f>
        <v>2800.1428520409982</v>
      </c>
      <c r="I123" s="321"/>
      <c r="J123" s="707">
        <f t="shared" si="63"/>
        <v>2401.6393442622948</v>
      </c>
      <c r="K123" s="715">
        <f>G123*8760/2000</f>
        <v>9058.8705882352933</v>
      </c>
      <c r="L123" s="321">
        <f t="shared" si="60"/>
        <v>12264.625691939571</v>
      </c>
      <c r="M123" s="321"/>
      <c r="N123" s="716">
        <f t="shared" si="57"/>
        <v>10519.180327868851</v>
      </c>
      <c r="O123" s="712">
        <f>MAX(G123:J125)</f>
        <v>3161.1960449999992</v>
      </c>
      <c r="P123" s="159">
        <f>O123*8760/2000</f>
        <v>13846.038677099998</v>
      </c>
      <c r="Q123" s="343">
        <f>MAX(K123:N125)</f>
        <v>13846.038677099998</v>
      </c>
      <c r="S123" s="778">
        <f>Q123-'Combustion (Existing Calcs)'!I180</f>
        <v>1581.4129851604266</v>
      </c>
      <c r="V123" s="145"/>
    </row>
    <row r="124" spans="1:24" s="760" customFormat="1" ht="14.25" x14ac:dyDescent="0.25">
      <c r="A124" s="951"/>
      <c r="B124" s="749" t="s">
        <v>594</v>
      </c>
      <c r="C124" s="750"/>
      <c r="D124" s="746"/>
      <c r="E124" s="746">
        <f>H72*71.06*2.205*1000</f>
        <v>19585.912500000002</v>
      </c>
      <c r="F124" s="751"/>
      <c r="G124" s="752"/>
      <c r="H124" s="753"/>
      <c r="I124" s="753">
        <f>E124*$B$72</f>
        <v>2754.5627340000001</v>
      </c>
      <c r="J124" s="754"/>
      <c r="K124" s="755"/>
      <c r="L124" s="753"/>
      <c r="M124" s="753">
        <f>I124*8760/2000</f>
        <v>12064.98477492</v>
      </c>
      <c r="N124" s="756"/>
      <c r="O124" s="757"/>
      <c r="P124" s="758"/>
      <c r="Q124" s="759"/>
      <c r="S124" s="778"/>
      <c r="V124" s="761"/>
      <c r="W124" s="762"/>
      <c r="X124" s="763"/>
    </row>
    <row r="125" spans="1:24" s="760" customFormat="1" ht="14.25" x14ac:dyDescent="0.25">
      <c r="A125" s="951"/>
      <c r="B125" s="749" t="s">
        <v>595</v>
      </c>
      <c r="C125" s="750"/>
      <c r="D125" s="746"/>
      <c r="E125" s="746">
        <f>H73*81.55*2.205*1000</f>
        <v>21578.129999999997</v>
      </c>
      <c r="F125" s="751"/>
      <c r="G125" s="752"/>
      <c r="H125" s="753"/>
      <c r="I125" s="753">
        <f>E125*$B$73</f>
        <v>3161.1960449999992</v>
      </c>
      <c r="J125" s="754"/>
      <c r="K125" s="755"/>
      <c r="L125" s="753"/>
      <c r="M125" s="753">
        <f>I125*8760/2000</f>
        <v>13846.038677099998</v>
      </c>
      <c r="N125" s="756"/>
      <c r="O125" s="757"/>
      <c r="P125" s="758"/>
      <c r="Q125" s="759"/>
      <c r="S125" s="778"/>
      <c r="V125" s="761"/>
      <c r="W125" s="762"/>
      <c r="X125" s="763"/>
    </row>
    <row r="126" spans="1:24" s="124" customFormat="1" ht="14.25" x14ac:dyDescent="0.25">
      <c r="A126" s="951"/>
      <c r="B126" s="689" t="s">
        <v>238</v>
      </c>
      <c r="C126" s="697">
        <v>2.2999999999999998</v>
      </c>
      <c r="D126" s="117">
        <v>5.1999999999999998E-2</v>
      </c>
      <c r="E126" s="117">
        <v>5.1999999999999998E-2</v>
      </c>
      <c r="F126" s="698">
        <v>0.2</v>
      </c>
      <c r="G126" s="167">
        <f>C126*$B$71</f>
        <v>3.9641176470588228E-2</v>
      </c>
      <c r="H126" s="107">
        <f>D126*$B$70*$H$69</f>
        <v>6.5294810899610718E-3</v>
      </c>
      <c r="I126" s="107">
        <f>E126*$B$73</f>
        <v>7.6179999999999989E-3</v>
      </c>
      <c r="J126" s="705">
        <f t="shared" si="63"/>
        <v>3.842622950819672E-2</v>
      </c>
      <c r="K126" s="660">
        <f t="shared" si="56"/>
        <v>0.17362835294117646</v>
      </c>
      <c r="L126" s="107">
        <f>H126*8760/2000*H$69</f>
        <v>2.8599127174029494E-2</v>
      </c>
      <c r="M126" s="107">
        <f t="shared" si="38"/>
        <v>3.3366839999999995E-2</v>
      </c>
      <c r="N126" s="657">
        <f t="shared" si="57"/>
        <v>0.16830688524590165</v>
      </c>
      <c r="O126" s="710">
        <f t="shared" si="50"/>
        <v>3.9641176470588228E-2</v>
      </c>
      <c r="P126" s="157">
        <f t="shared" ref="P126:P129" si="66">O126*8760/2000</f>
        <v>0.17362835294117646</v>
      </c>
      <c r="Q126" s="341">
        <f>MAX(K126:N126)</f>
        <v>0.17362835294117646</v>
      </c>
      <c r="S126" s="778">
        <f>Q126-'Combustion (Existing Calcs)'!I181</f>
        <v>0</v>
      </c>
      <c r="V126" s="145"/>
    </row>
    <row r="127" spans="1:24" s="124" customFormat="1" ht="14.25" x14ac:dyDescent="0.25">
      <c r="A127" s="951"/>
      <c r="B127" s="689" t="s">
        <v>239</v>
      </c>
      <c r="C127" s="697">
        <v>2.2000000000000002</v>
      </c>
      <c r="D127" s="117">
        <v>0.26</v>
      </c>
      <c r="E127" s="117">
        <f>+AVERAGE(0.53,0.26)</f>
        <v>0.39500000000000002</v>
      </c>
      <c r="F127" s="698">
        <v>0.9</v>
      </c>
      <c r="G127" s="167">
        <f>C127*$B$71</f>
        <v>3.7917647058823528E-2</v>
      </c>
      <c r="H127" s="107">
        <f>D127*$B$70*$H$69</f>
        <v>3.2647405449805364E-2</v>
      </c>
      <c r="I127" s="107">
        <f>E127*$B$73</f>
        <v>5.7867500000000002E-2</v>
      </c>
      <c r="J127" s="705">
        <f t="shared" si="63"/>
        <v>0.17291803278688525</v>
      </c>
      <c r="K127" s="660">
        <f t="shared" si="56"/>
        <v>0.16607929411764707</v>
      </c>
      <c r="L127" s="107">
        <f>H127*8760/2000*H$69</f>
        <v>0.14299563587014749</v>
      </c>
      <c r="M127" s="107">
        <f t="shared" si="38"/>
        <v>0.25345965000000004</v>
      </c>
      <c r="N127" s="657">
        <f>J127*8760/2000</f>
        <v>0.75738098360655737</v>
      </c>
      <c r="O127" s="710">
        <f t="shared" si="50"/>
        <v>0.17291803278688525</v>
      </c>
      <c r="P127" s="157">
        <f t="shared" si="66"/>
        <v>0.75738098360655737</v>
      </c>
      <c r="Q127" s="341">
        <f t="shared" si="59"/>
        <v>0.75738098360655737</v>
      </c>
      <c r="S127" s="778">
        <f>Q127-'Combustion (Existing Calcs)'!I182</f>
        <v>0.59130168948891026</v>
      </c>
      <c r="V127" s="145"/>
    </row>
    <row r="128" spans="1:24" s="124" customFormat="1" x14ac:dyDescent="0.2">
      <c r="A128" s="951"/>
      <c r="B128" s="689" t="s">
        <v>158</v>
      </c>
      <c r="C128" s="697"/>
      <c r="D128" s="117"/>
      <c r="E128" s="123"/>
      <c r="F128" s="698"/>
      <c r="G128" s="695">
        <f>SUM(G123:G127)</f>
        <v>2068.3128529411761</v>
      </c>
      <c r="H128" s="321">
        <f>SUM(H123:H127)</f>
        <v>2800.1820289275383</v>
      </c>
      <c r="I128" s="753">
        <f>SUM(MAX(I124:I125),I126:I127)</f>
        <v>3161.2615304999995</v>
      </c>
      <c r="J128" s="707">
        <f>SUM(J123:J127)</f>
        <v>2401.8506885245902</v>
      </c>
      <c r="K128" s="715">
        <f t="shared" si="56"/>
        <v>9059.2102958823525</v>
      </c>
      <c r="L128" s="321">
        <f>H128*8760/2000*H$69</f>
        <v>12264.797286702618</v>
      </c>
      <c r="M128" s="753">
        <f>I128*8760/2000</f>
        <v>13846.325503589997</v>
      </c>
      <c r="N128" s="716">
        <f t="shared" si="57"/>
        <v>10520.106015737705</v>
      </c>
      <c r="O128" s="712">
        <f t="shared" si="50"/>
        <v>3161.2615304999995</v>
      </c>
      <c r="P128" s="159">
        <f t="shared" si="66"/>
        <v>13846.325503589997</v>
      </c>
      <c r="Q128" s="343">
        <f>MAX(K128:N128)</f>
        <v>13846.325503589997</v>
      </c>
      <c r="S128" s="778">
        <f>Q128-'Combustion (Existing Calcs)'!I183</f>
        <v>1581.3601040033664</v>
      </c>
      <c r="V128" s="145"/>
    </row>
    <row r="129" spans="1:22" s="124" customFormat="1" ht="15" thickBot="1" x14ac:dyDescent="0.3">
      <c r="A129" s="952"/>
      <c r="B129" s="690" t="s">
        <v>320</v>
      </c>
      <c r="C129" s="702"/>
      <c r="D129" s="344"/>
      <c r="E129" s="121"/>
      <c r="F129" s="703"/>
      <c r="G129" s="696">
        <f>G123+(G126*25)+(G127*298)</f>
        <v>2080.525782352941</v>
      </c>
      <c r="H129" s="345">
        <f>H123+(H126*25)+(H127*298)</f>
        <v>2810.0350158922893</v>
      </c>
      <c r="I129" s="765">
        <f>MAX(I124:I125)+(I126*25)+(I127*298)</f>
        <v>3178.6310099999992</v>
      </c>
      <c r="J129" s="708">
        <f>J123+(J126*25)+(J127*298)</f>
        <v>2454.1295737704918</v>
      </c>
      <c r="K129" s="717">
        <f t="shared" si="56"/>
        <v>9112.7029267058824</v>
      </c>
      <c r="L129" s="345">
        <f>H129*8760/2000*H$69</f>
        <v>12307.953369608227</v>
      </c>
      <c r="M129" s="765">
        <f>I129*8760/2000</f>
        <v>13922.403823799996</v>
      </c>
      <c r="N129" s="718">
        <f>J129*8760/2000</f>
        <v>10749.087533114754</v>
      </c>
      <c r="O129" s="713">
        <f t="shared" si="50"/>
        <v>3178.6310099999992</v>
      </c>
      <c r="P129" s="346">
        <f t="shared" si="66"/>
        <v>13922.403823799996</v>
      </c>
      <c r="Q129" s="347">
        <f>MAX(K129:N129)</f>
        <v>13922.403823799996</v>
      </c>
      <c r="S129" s="778">
        <f>Q129-'Combustion (Existing Calcs)'!I184</f>
        <v>1603.9457933898375</v>
      </c>
      <c r="V129" s="145"/>
    </row>
    <row r="130" spans="1:22" s="124" customFormat="1" ht="60.75" customHeight="1" x14ac:dyDescent="0.2">
      <c r="A130" s="955" t="s">
        <v>598</v>
      </c>
      <c r="B130" s="955"/>
      <c r="C130" s="955"/>
      <c r="D130" s="955"/>
      <c r="E130" s="955"/>
      <c r="F130" s="955"/>
      <c r="G130" s="955"/>
      <c r="H130" s="955"/>
      <c r="I130" s="955"/>
      <c r="J130" s="955"/>
      <c r="K130" s="955"/>
      <c r="L130" s="955"/>
      <c r="M130" s="955"/>
      <c r="N130" s="955"/>
      <c r="O130" s="955"/>
      <c r="P130" s="955"/>
      <c r="Q130" s="955"/>
      <c r="U130" s="145"/>
    </row>
    <row r="131" spans="1:22" s="124" customFormat="1" x14ac:dyDescent="0.2">
      <c r="A131" s="745" t="s">
        <v>612</v>
      </c>
      <c r="B131" s="736"/>
      <c r="C131" s="736"/>
      <c r="D131" s="736"/>
      <c r="E131" s="736"/>
      <c r="F131" s="736"/>
      <c r="G131" s="736"/>
      <c r="H131" s="736"/>
      <c r="I131" s="736"/>
      <c r="J131" s="736"/>
      <c r="K131" s="736"/>
      <c r="L131" s="736"/>
      <c r="M131" s="736"/>
      <c r="N131" s="736"/>
      <c r="O131" s="736"/>
      <c r="P131" s="736"/>
      <c r="Q131" s="736"/>
      <c r="U131" s="145"/>
    </row>
    <row r="132" spans="1:22" s="124" customFormat="1" ht="17.25" customHeight="1" x14ac:dyDescent="0.2">
      <c r="A132" s="954" t="s">
        <v>608</v>
      </c>
      <c r="B132" s="954"/>
      <c r="C132" s="954"/>
      <c r="D132" s="954"/>
      <c r="E132" s="954"/>
      <c r="F132" s="954"/>
      <c r="G132" s="954"/>
      <c r="H132" s="954"/>
      <c r="I132" s="954"/>
      <c r="J132" s="954"/>
      <c r="K132" s="954"/>
      <c r="L132" s="954"/>
      <c r="M132" s="954"/>
      <c r="N132" s="954"/>
      <c r="O132" s="954"/>
      <c r="P132" s="954"/>
      <c r="Q132" s="954"/>
    </row>
    <row r="133" spans="1:22" s="124" customFormat="1" ht="15.75" customHeight="1" x14ac:dyDescent="0.2">
      <c r="A133" s="447" t="s">
        <v>372</v>
      </c>
      <c r="B133" s="469"/>
      <c r="C133" s="469"/>
      <c r="D133" s="469"/>
      <c r="E133" s="469"/>
      <c r="F133" s="469"/>
      <c r="G133" s="469"/>
      <c r="H133" s="469"/>
      <c r="I133" s="469"/>
      <c r="J133" s="469"/>
      <c r="K133" s="469"/>
      <c r="L133" s="469"/>
      <c r="M133" s="469"/>
    </row>
    <row r="134" spans="1:22" s="119" customFormat="1" ht="18" x14ac:dyDescent="0.25">
      <c r="A134" s="953" t="s">
        <v>11</v>
      </c>
      <c r="B134" s="953"/>
      <c r="C134" s="953"/>
      <c r="D134" s="953"/>
      <c r="E134" s="953"/>
      <c r="F134" s="953"/>
      <c r="G134" s="953"/>
      <c r="H134" s="953"/>
      <c r="I134" s="953"/>
      <c r="J134" s="953"/>
      <c r="K134" s="953"/>
      <c r="L134" s="953"/>
      <c r="M134" s="953"/>
    </row>
    <row r="135" spans="1:22" s="119" customFormat="1" ht="15.75" x14ac:dyDescent="0.25">
      <c r="A135" s="949" t="s">
        <v>652</v>
      </c>
      <c r="B135" s="949"/>
      <c r="C135" s="949"/>
      <c r="D135" s="949"/>
      <c r="E135" s="949"/>
      <c r="F135" s="949"/>
      <c r="G135" s="949"/>
      <c r="H135" s="949"/>
      <c r="I135" s="949"/>
      <c r="J135" s="949"/>
      <c r="K135" s="949"/>
      <c r="L135" s="949"/>
      <c r="M135" s="949"/>
    </row>
    <row r="136" spans="1:22" s="119" customFormat="1" ht="15.75" x14ac:dyDescent="0.25">
      <c r="A136" s="949" t="s">
        <v>234</v>
      </c>
      <c r="B136" s="949"/>
      <c r="C136" s="949"/>
      <c r="D136" s="949"/>
      <c r="E136" s="949"/>
      <c r="F136" s="949"/>
      <c r="G136" s="949"/>
      <c r="H136" s="949"/>
      <c r="I136" s="949"/>
      <c r="J136" s="949"/>
      <c r="K136" s="949"/>
      <c r="L136" s="949"/>
      <c r="M136" s="949"/>
    </row>
    <row r="137" spans="1:22" s="119" customFormat="1" ht="15.75" customHeight="1" x14ac:dyDescent="0.2">
      <c r="A137" s="147" t="s">
        <v>90</v>
      </c>
      <c r="B137" s="334"/>
      <c r="C137" s="334"/>
      <c r="D137" s="334"/>
      <c r="E137" s="154"/>
      <c r="F137" s="154"/>
      <c r="G137" s="154"/>
      <c r="H137" s="154"/>
      <c r="I137" s="154"/>
      <c r="J137" s="154"/>
      <c r="K137" s="154"/>
      <c r="L137" s="154"/>
      <c r="M137" s="154"/>
    </row>
    <row r="138" spans="1:22" s="124" customFormat="1" x14ac:dyDescent="0.2">
      <c r="A138" s="119" t="s">
        <v>91</v>
      </c>
      <c r="B138" s="148">
        <v>98</v>
      </c>
      <c r="C138" s="148" t="s">
        <v>251</v>
      </c>
      <c r="D138" s="122"/>
      <c r="E138" s="165" t="s">
        <v>305</v>
      </c>
      <c r="F138" s="165"/>
      <c r="G138" s="119"/>
      <c r="H138" s="425">
        <v>1</v>
      </c>
      <c r="J138" s="119"/>
      <c r="K138" s="119"/>
      <c r="L138" s="119"/>
      <c r="M138" s="119"/>
      <c r="N138" s="152"/>
      <c r="O138" s="119"/>
      <c r="P138" s="119"/>
      <c r="Q138" s="119"/>
      <c r="R138" s="119"/>
    </row>
    <row r="139" spans="1:22" s="124" customFormat="1" x14ac:dyDescent="0.2">
      <c r="A139" s="119" t="s">
        <v>96</v>
      </c>
      <c r="B139" s="119">
        <f>B138/H139/1000</f>
        <v>0.69997500089282527</v>
      </c>
      <c r="C139" s="119" t="s">
        <v>93</v>
      </c>
      <c r="D139" s="119"/>
      <c r="E139" s="119" t="s">
        <v>97</v>
      </c>
      <c r="F139" s="119"/>
      <c r="G139" s="119"/>
      <c r="H139" s="119">
        <f>140005/1000000</f>
        <v>0.14000499999999999</v>
      </c>
      <c r="I139" s="119" t="s">
        <v>95</v>
      </c>
      <c r="J139" s="119"/>
      <c r="K139" s="119" t="s">
        <v>226</v>
      </c>
      <c r="L139" s="149">
        <f>500/1000000*100</f>
        <v>0.05</v>
      </c>
      <c r="M139" s="119" t="s">
        <v>225</v>
      </c>
      <c r="N139" s="119"/>
      <c r="O139" s="119"/>
      <c r="P139" s="119"/>
      <c r="Q139" s="119"/>
      <c r="R139" s="119"/>
    </row>
    <row r="140" spans="1:22" s="124" customFormat="1" x14ac:dyDescent="0.2">
      <c r="A140" s="165" t="s">
        <v>98</v>
      </c>
      <c r="B140" s="119">
        <f>B138/H140</f>
        <v>9.6078431372549025E-2</v>
      </c>
      <c r="C140" s="119" t="s">
        <v>99</v>
      </c>
      <c r="E140" s="119" t="s">
        <v>100</v>
      </c>
      <c r="F140" s="119"/>
      <c r="H140" s="119">
        <v>1020</v>
      </c>
      <c r="I140" s="165" t="s">
        <v>53</v>
      </c>
      <c r="N140" s="119"/>
      <c r="O140" s="119"/>
      <c r="P140" s="119"/>
      <c r="Q140" s="119"/>
      <c r="R140" s="119"/>
    </row>
    <row r="141" spans="1:22" s="124" customFormat="1" ht="26.25" customHeight="1" x14ac:dyDescent="0.2">
      <c r="A141" s="764" t="s">
        <v>592</v>
      </c>
      <c r="B141" s="455">
        <f>B138/H141/1000</f>
        <v>0.78400000000000003</v>
      </c>
      <c r="C141" s="323" t="s">
        <v>93</v>
      </c>
      <c r="D141" s="323"/>
      <c r="E141" s="748" t="s">
        <v>596</v>
      </c>
      <c r="F141" s="323"/>
      <c r="G141" s="323"/>
      <c r="H141" s="744">
        <v>0.125</v>
      </c>
      <c r="I141" s="323" t="s">
        <v>95</v>
      </c>
      <c r="J141" s="323"/>
      <c r="K141" s="323"/>
      <c r="L141" s="452"/>
      <c r="M141" s="323"/>
      <c r="N141" s="323"/>
      <c r="O141" s="165"/>
      <c r="P141" s="165"/>
      <c r="Q141" s="165"/>
      <c r="R141" s="165"/>
    </row>
    <row r="142" spans="1:22" s="124" customFormat="1" ht="26.25" customHeight="1" x14ac:dyDescent="0.2">
      <c r="A142" s="764" t="s">
        <v>591</v>
      </c>
      <c r="B142" s="455">
        <f>B138/H142/1000</f>
        <v>0.81666666666666676</v>
      </c>
      <c r="C142" s="323" t="s">
        <v>93</v>
      </c>
      <c r="D142" s="323"/>
      <c r="E142" s="748" t="s">
        <v>593</v>
      </c>
      <c r="F142" s="323"/>
      <c r="G142" s="323"/>
      <c r="H142" s="744">
        <v>0.12</v>
      </c>
      <c r="I142" s="323" t="s">
        <v>95</v>
      </c>
      <c r="J142" s="323"/>
      <c r="K142" s="323" t="s">
        <v>230</v>
      </c>
      <c r="L142" s="452">
        <v>0.1</v>
      </c>
      <c r="M142" s="323" t="s">
        <v>225</v>
      </c>
      <c r="N142" s="323"/>
      <c r="O142" s="165"/>
      <c r="P142" s="165"/>
      <c r="Q142" s="165"/>
      <c r="R142" s="165"/>
    </row>
    <row r="143" spans="1:22" s="124" customFormat="1" ht="13.5" thickBot="1" x14ac:dyDescent="0.25">
      <c r="A143" s="323" t="s">
        <v>253</v>
      </c>
      <c r="B143" s="354">
        <f>B138/H143/1000</f>
        <v>1.0710382513661203</v>
      </c>
      <c r="C143" s="323" t="s">
        <v>93</v>
      </c>
      <c r="D143" s="119"/>
      <c r="E143" s="323" t="s">
        <v>254</v>
      </c>
      <c r="F143" s="119"/>
      <c r="G143" s="119"/>
      <c r="H143" s="119">
        <f>91.5/1000</f>
        <v>9.1499999999999998E-2</v>
      </c>
      <c r="I143" s="323" t="s">
        <v>95</v>
      </c>
      <c r="J143" s="119"/>
      <c r="K143" s="165" t="s">
        <v>257</v>
      </c>
      <c r="L143" s="119">
        <v>15</v>
      </c>
      <c r="M143" s="165" t="s">
        <v>259</v>
      </c>
      <c r="N143" s="119"/>
      <c r="O143" s="119"/>
      <c r="P143" s="119"/>
      <c r="Q143" s="119"/>
      <c r="R143" s="119"/>
    </row>
    <row r="144" spans="1:22" s="163" customFormat="1" ht="63.75" x14ac:dyDescent="0.2">
      <c r="A144" s="336" t="s">
        <v>102</v>
      </c>
      <c r="B144" s="686" t="s">
        <v>10</v>
      </c>
      <c r="C144" s="336" t="s">
        <v>103</v>
      </c>
      <c r="D144" s="337" t="s">
        <v>104</v>
      </c>
      <c r="E144" s="337" t="s">
        <v>331</v>
      </c>
      <c r="F144" s="338" t="s">
        <v>258</v>
      </c>
      <c r="G144" s="691" t="s">
        <v>106</v>
      </c>
      <c r="H144" s="337" t="s">
        <v>107</v>
      </c>
      <c r="I144" s="337" t="s">
        <v>332</v>
      </c>
      <c r="J144" s="686" t="s">
        <v>252</v>
      </c>
      <c r="K144" s="336" t="s">
        <v>306</v>
      </c>
      <c r="L144" s="337" t="s">
        <v>307</v>
      </c>
      <c r="M144" s="337" t="s">
        <v>333</v>
      </c>
      <c r="N144" s="338" t="s">
        <v>308</v>
      </c>
      <c r="O144" s="691" t="s">
        <v>109</v>
      </c>
      <c r="P144" s="337" t="s">
        <v>110</v>
      </c>
      <c r="Q144" s="338" t="s">
        <v>111</v>
      </c>
    </row>
    <row r="145" spans="1:17" s="124" customFormat="1" ht="12.75" customHeight="1" x14ac:dyDescent="0.2">
      <c r="A145" s="960" t="s">
        <v>653</v>
      </c>
      <c r="B145" s="719" t="s">
        <v>113</v>
      </c>
      <c r="C145" s="697">
        <v>1.7999999999999999E-6</v>
      </c>
      <c r="D145" s="117">
        <v>2.1100000000000001E-5</v>
      </c>
      <c r="E145" s="117">
        <v>2.1100000000000001E-5</v>
      </c>
      <c r="F145" s="698">
        <f t="shared" ref="F145:F157" si="67">C145/$H$140*$H$143*1000</f>
        <v>1.614705882352941E-7</v>
      </c>
      <c r="G145" s="692">
        <f t="shared" ref="G145:G157" si="68">C145*$B$140</f>
        <v>1.7294117647058823E-7</v>
      </c>
      <c r="H145" s="117">
        <f>D145*$B$139*$H$138</f>
        <v>1.4769472518838614E-5</v>
      </c>
      <c r="I145" s="117">
        <f>E145*$B$142</f>
        <v>1.723166666666667E-5</v>
      </c>
      <c r="J145" s="704">
        <f t="shared" ref="J145:J157" si="69">F145*$B$143</f>
        <v>1.7294117647058823E-7</v>
      </c>
      <c r="K145" s="697">
        <f t="shared" ref="K145:K157" si="70">G145*8760/2000</f>
        <v>7.5748235294117652E-7</v>
      </c>
      <c r="L145" s="117">
        <f>H145*8760/2000*H$138</f>
        <v>6.4690289632513128E-5</v>
      </c>
      <c r="M145" s="117">
        <f>I145*8760/2000*H$138</f>
        <v>7.5474700000000025E-5</v>
      </c>
      <c r="N145" s="698">
        <f t="shared" ref="N145:N157" si="71">J145*8760/2000*H$138</f>
        <v>7.5748235294117652E-7</v>
      </c>
      <c r="O145" s="709">
        <f t="shared" ref="O145:O167" si="72">MAX(G145:J145)</f>
        <v>1.723166666666667E-5</v>
      </c>
      <c r="P145" s="158">
        <f>O145*8760/2000</f>
        <v>7.5474700000000025E-5</v>
      </c>
      <c r="Q145" s="339">
        <f>MAX(K145:N145)</f>
        <v>7.5474700000000025E-5</v>
      </c>
    </row>
    <row r="146" spans="1:17" s="124" customFormat="1" x14ac:dyDescent="0.2">
      <c r="A146" s="961"/>
      <c r="B146" s="719" t="s">
        <v>114</v>
      </c>
      <c r="C146" s="697">
        <v>1.7999999999999999E-6</v>
      </c>
      <c r="D146" s="117">
        <v>2.53E-7</v>
      </c>
      <c r="E146" s="117">
        <v>2.53E-7</v>
      </c>
      <c r="F146" s="698">
        <f t="shared" si="67"/>
        <v>1.614705882352941E-7</v>
      </c>
      <c r="G146" s="692">
        <f t="shared" si="68"/>
        <v>1.7294117647058823E-7</v>
      </c>
      <c r="H146" s="117">
        <f>D146*$B$139*$H$138</f>
        <v>1.7709367522588478E-7</v>
      </c>
      <c r="I146" s="117">
        <f>E146*$B$142</f>
        <v>2.0661666666666669E-7</v>
      </c>
      <c r="J146" s="704">
        <f t="shared" si="69"/>
        <v>1.7294117647058823E-7</v>
      </c>
      <c r="K146" s="697">
        <f t="shared" si="70"/>
        <v>7.5748235294117652E-7</v>
      </c>
      <c r="L146" s="117">
        <f>H146*8760/2000*H$138</f>
        <v>7.7567029748937538E-7</v>
      </c>
      <c r="M146" s="117">
        <f>I146*8760/2000*H$138</f>
        <v>9.0498100000000013E-7</v>
      </c>
      <c r="N146" s="698">
        <f t="shared" si="71"/>
        <v>7.5748235294117652E-7</v>
      </c>
      <c r="O146" s="709">
        <f t="shared" si="72"/>
        <v>2.0661666666666669E-7</v>
      </c>
      <c r="P146" s="158">
        <f t="shared" ref="P146:P163" si="73">O146*8760/2000</f>
        <v>9.0498100000000013E-7</v>
      </c>
      <c r="Q146" s="339">
        <f t="shared" ref="Q146:Q180" si="74">MAX(K146:N146)</f>
        <v>9.0498100000000013E-7</v>
      </c>
    </row>
    <row r="147" spans="1:17" s="124" customFormat="1" ht="12.75" customHeight="1" x14ac:dyDescent="0.2">
      <c r="A147" s="961"/>
      <c r="B147" s="719" t="s">
        <v>115</v>
      </c>
      <c r="C147" s="697">
        <v>2.3999999999999999E-6</v>
      </c>
      <c r="D147" s="117">
        <v>1.22E-6</v>
      </c>
      <c r="E147" s="117">
        <v>1.22E-6</v>
      </c>
      <c r="F147" s="698">
        <f t="shared" si="67"/>
        <v>2.1529411764705881E-7</v>
      </c>
      <c r="G147" s="692">
        <f t="shared" si="68"/>
        <v>2.3058823529411764E-7</v>
      </c>
      <c r="H147" s="117">
        <f>D147*$B$139*$H$138</f>
        <v>8.5396950108924679E-7</v>
      </c>
      <c r="I147" s="117">
        <f>E147*$B$142</f>
        <v>9.9633333333333351E-7</v>
      </c>
      <c r="J147" s="704">
        <f t="shared" si="69"/>
        <v>2.3058823529411766E-7</v>
      </c>
      <c r="K147" s="697">
        <f t="shared" si="70"/>
        <v>1.0099764705882352E-6</v>
      </c>
      <c r="L147" s="117">
        <f>H147*8760/2000*H$138</f>
        <v>3.7403864147709006E-6</v>
      </c>
      <c r="M147" s="117">
        <f>I147*8760/2000*H$138</f>
        <v>4.3639400000000009E-6</v>
      </c>
      <c r="N147" s="698">
        <f t="shared" si="71"/>
        <v>1.0099764705882354E-6</v>
      </c>
      <c r="O147" s="709">
        <f t="shared" si="72"/>
        <v>9.9633333333333351E-7</v>
      </c>
      <c r="P147" s="158">
        <f t="shared" si="73"/>
        <v>4.3639400000000009E-6</v>
      </c>
      <c r="Q147" s="339">
        <f t="shared" si="74"/>
        <v>4.3639400000000009E-6</v>
      </c>
    </row>
    <row r="148" spans="1:17" s="124" customFormat="1" x14ac:dyDescent="0.2">
      <c r="A148" s="961"/>
      <c r="B148" s="719" t="s">
        <v>116</v>
      </c>
      <c r="C148" s="697">
        <v>1.7999999999999999E-6</v>
      </c>
      <c r="D148" s="117">
        <v>4.0099999999999997E-6</v>
      </c>
      <c r="E148" s="117">
        <v>4.0099999999999997E-6</v>
      </c>
      <c r="F148" s="698">
        <f t="shared" si="67"/>
        <v>1.614705882352941E-7</v>
      </c>
      <c r="G148" s="692">
        <f t="shared" si="68"/>
        <v>1.7294117647058823E-7</v>
      </c>
      <c r="H148" s="117">
        <f>D148*$B$139*$H$138</f>
        <v>2.806899753580229E-6</v>
      </c>
      <c r="I148" s="117">
        <f>E148*$B$142</f>
        <v>3.2748333333333334E-6</v>
      </c>
      <c r="J148" s="704">
        <f t="shared" si="69"/>
        <v>1.7294117647058823E-7</v>
      </c>
      <c r="K148" s="697">
        <f t="shared" si="70"/>
        <v>7.5748235294117652E-7</v>
      </c>
      <c r="L148" s="117">
        <f>H148*8760/2000*H$138</f>
        <v>1.2294220920681403E-5</v>
      </c>
      <c r="M148" s="117">
        <f>I148*8760/2000*H$138</f>
        <v>1.4343770000000001E-5</v>
      </c>
      <c r="N148" s="698">
        <f t="shared" si="71"/>
        <v>7.5748235294117652E-7</v>
      </c>
      <c r="O148" s="709">
        <f t="shared" si="72"/>
        <v>3.2748333333333334E-6</v>
      </c>
      <c r="P148" s="158">
        <f t="shared" si="73"/>
        <v>1.4343770000000001E-5</v>
      </c>
      <c r="Q148" s="339">
        <f t="shared" si="74"/>
        <v>1.4343770000000001E-5</v>
      </c>
    </row>
    <row r="149" spans="1:17" s="124" customFormat="1" x14ac:dyDescent="0.2">
      <c r="A149" s="961"/>
      <c r="B149" s="719" t="s">
        <v>117</v>
      </c>
      <c r="C149" s="697">
        <v>2.0999999999999999E-3</v>
      </c>
      <c r="D149" s="117">
        <v>2.14E-4</v>
      </c>
      <c r="E149" s="117">
        <v>2.14E-4</v>
      </c>
      <c r="F149" s="698">
        <f t="shared" si="67"/>
        <v>1.8838235294117646E-4</v>
      </c>
      <c r="G149" s="692">
        <f t="shared" si="68"/>
        <v>2.0176470588235295E-4</v>
      </c>
      <c r="H149" s="117">
        <f>D149*$B$139*$H$138</f>
        <v>1.4979465019106461E-4</v>
      </c>
      <c r="I149" s="117">
        <f>E149*$B$142</f>
        <v>1.747666666666667E-4</v>
      </c>
      <c r="J149" s="704">
        <f t="shared" si="69"/>
        <v>2.0176470588235295E-4</v>
      </c>
      <c r="K149" s="697">
        <f t="shared" si="70"/>
        <v>8.8372941176470586E-4</v>
      </c>
      <c r="L149" s="117">
        <f>H149*8760/2000*H$138</f>
        <v>6.5610056783686299E-4</v>
      </c>
      <c r="M149" s="117">
        <f>I149*8760/2000*H$138</f>
        <v>7.654780000000001E-4</v>
      </c>
      <c r="N149" s="698">
        <f t="shared" si="71"/>
        <v>8.8372941176470586E-4</v>
      </c>
      <c r="O149" s="709">
        <f t="shared" si="72"/>
        <v>2.0176470588235295E-4</v>
      </c>
      <c r="P149" s="158">
        <f t="shared" si="73"/>
        <v>8.8372941176470586E-4</v>
      </c>
      <c r="Q149" s="339">
        <f t="shared" si="74"/>
        <v>8.8372941176470586E-4</v>
      </c>
    </row>
    <row r="150" spans="1:17" s="124" customFormat="1" x14ac:dyDescent="0.2">
      <c r="A150" s="961"/>
      <c r="B150" s="720" t="s">
        <v>118</v>
      </c>
      <c r="C150" s="697">
        <v>1.1999999999999999E-6</v>
      </c>
      <c r="D150" s="117"/>
      <c r="E150" s="117"/>
      <c r="F150" s="698">
        <f t="shared" si="67"/>
        <v>1.0764705882352941E-7</v>
      </c>
      <c r="G150" s="692">
        <f t="shared" si="68"/>
        <v>1.1529411764705882E-7</v>
      </c>
      <c r="H150" s="117"/>
      <c r="I150" s="324"/>
      <c r="J150" s="704">
        <f t="shared" si="69"/>
        <v>1.1529411764705883E-7</v>
      </c>
      <c r="K150" s="697">
        <f t="shared" si="70"/>
        <v>5.0498823529411761E-7</v>
      </c>
      <c r="L150" s="117"/>
      <c r="M150" s="117"/>
      <c r="N150" s="698">
        <f t="shared" si="71"/>
        <v>5.0498823529411771E-7</v>
      </c>
      <c r="O150" s="709">
        <f t="shared" si="72"/>
        <v>1.1529411764705883E-7</v>
      </c>
      <c r="P150" s="158">
        <f t="shared" si="73"/>
        <v>5.0498823529411771E-7</v>
      </c>
      <c r="Q150" s="339">
        <f t="shared" si="74"/>
        <v>5.0498823529411771E-7</v>
      </c>
    </row>
    <row r="151" spans="1:17" s="124" customFormat="1" x14ac:dyDescent="0.2">
      <c r="A151" s="961"/>
      <c r="B151" s="719" t="s">
        <v>213</v>
      </c>
      <c r="C151" s="697">
        <v>1.7999999999999999E-6</v>
      </c>
      <c r="D151" s="117">
        <v>1.48E-6</v>
      </c>
      <c r="E151" s="117">
        <v>1.48E-6</v>
      </c>
      <c r="F151" s="698">
        <f t="shared" si="67"/>
        <v>1.614705882352941E-7</v>
      </c>
      <c r="G151" s="692">
        <f t="shared" si="68"/>
        <v>1.7294117647058823E-7</v>
      </c>
      <c r="H151" s="117">
        <f>D151*$B$139*$H$138</f>
        <v>1.0359630013213815E-6</v>
      </c>
      <c r="I151" s="117">
        <f>E151*$B$142</f>
        <v>1.2086666666666668E-6</v>
      </c>
      <c r="J151" s="704">
        <f t="shared" si="69"/>
        <v>1.7294117647058823E-7</v>
      </c>
      <c r="K151" s="697">
        <f t="shared" si="70"/>
        <v>7.5748235294117652E-7</v>
      </c>
      <c r="L151" s="117">
        <f>H151*8760/2000*H$138</f>
        <v>4.5375179457876512E-6</v>
      </c>
      <c r="M151" s="117">
        <f>I151*8760/2000*H$138</f>
        <v>5.2939600000000002E-6</v>
      </c>
      <c r="N151" s="698">
        <f t="shared" si="71"/>
        <v>7.5748235294117652E-7</v>
      </c>
      <c r="O151" s="709">
        <f t="shared" si="72"/>
        <v>1.2086666666666668E-6</v>
      </c>
      <c r="P151" s="158">
        <f t="shared" si="73"/>
        <v>5.2939600000000002E-6</v>
      </c>
      <c r="Q151" s="339">
        <f t="shared" si="74"/>
        <v>5.2939600000000002E-6</v>
      </c>
    </row>
    <row r="152" spans="1:17" s="124" customFormat="1" x14ac:dyDescent="0.2">
      <c r="A152" s="961"/>
      <c r="B152" s="719" t="s">
        <v>120</v>
      </c>
      <c r="C152" s="697">
        <v>1.1999999999999999E-6</v>
      </c>
      <c r="D152" s="117">
        <v>2.26E-6</v>
      </c>
      <c r="E152" s="117">
        <v>2.26E-6</v>
      </c>
      <c r="F152" s="698">
        <f t="shared" si="67"/>
        <v>1.0764705882352941E-7</v>
      </c>
      <c r="G152" s="692">
        <f t="shared" si="68"/>
        <v>1.1529411764705882E-7</v>
      </c>
      <c r="H152" s="117">
        <f>D152*$B$139*$H$138</f>
        <v>1.581943502017785E-6</v>
      </c>
      <c r="I152" s="117">
        <f>E152*$B$142</f>
        <v>1.8456666666666668E-6</v>
      </c>
      <c r="J152" s="704">
        <f t="shared" si="69"/>
        <v>1.1529411764705883E-7</v>
      </c>
      <c r="K152" s="697">
        <f t="shared" si="70"/>
        <v>5.0498823529411761E-7</v>
      </c>
      <c r="L152" s="117">
        <f>H152*8760/2000*H$138</f>
        <v>6.9289125388378988E-6</v>
      </c>
      <c r="M152" s="117">
        <f>I152*8760/2000*H$138</f>
        <v>8.0840200000000006E-6</v>
      </c>
      <c r="N152" s="698">
        <f t="shared" si="71"/>
        <v>5.0498823529411771E-7</v>
      </c>
      <c r="O152" s="709">
        <f t="shared" si="72"/>
        <v>1.8456666666666668E-6</v>
      </c>
      <c r="P152" s="158">
        <f t="shared" si="73"/>
        <v>8.0840200000000006E-6</v>
      </c>
      <c r="Q152" s="339">
        <f t="shared" si="74"/>
        <v>8.0840200000000006E-6</v>
      </c>
    </row>
    <row r="153" spans="1:17" s="124" customFormat="1" x14ac:dyDescent="0.2">
      <c r="A153" s="961"/>
      <c r="B153" s="719" t="s">
        <v>121</v>
      </c>
      <c r="C153" s="697">
        <v>1.7999999999999999E-6</v>
      </c>
      <c r="D153" s="117">
        <v>1.48E-6</v>
      </c>
      <c r="E153" s="117">
        <v>1.48E-6</v>
      </c>
      <c r="F153" s="698">
        <f t="shared" si="67"/>
        <v>1.614705882352941E-7</v>
      </c>
      <c r="G153" s="692">
        <f t="shared" si="68"/>
        <v>1.7294117647058823E-7</v>
      </c>
      <c r="H153" s="117">
        <f>D153*$B$139*$H$138</f>
        <v>1.0359630013213815E-6</v>
      </c>
      <c r="I153" s="117">
        <f>E153*$B$142</f>
        <v>1.2086666666666668E-6</v>
      </c>
      <c r="J153" s="704">
        <f t="shared" si="69"/>
        <v>1.7294117647058823E-7</v>
      </c>
      <c r="K153" s="697">
        <f t="shared" si="70"/>
        <v>7.5748235294117652E-7</v>
      </c>
      <c r="L153" s="117">
        <f>H153*8760/2000*H$138</f>
        <v>4.5375179457876512E-6</v>
      </c>
      <c r="M153" s="117">
        <f>I153*8760/2000*H$138</f>
        <v>5.2939600000000002E-6</v>
      </c>
      <c r="N153" s="698">
        <f t="shared" si="71"/>
        <v>7.5748235294117652E-7</v>
      </c>
      <c r="O153" s="709">
        <f t="shared" si="72"/>
        <v>1.2086666666666668E-6</v>
      </c>
      <c r="P153" s="158">
        <f t="shared" si="73"/>
        <v>5.2939600000000002E-6</v>
      </c>
      <c r="Q153" s="339">
        <f t="shared" si="74"/>
        <v>5.2939600000000002E-6</v>
      </c>
    </row>
    <row r="154" spans="1:17" s="124" customFormat="1" x14ac:dyDescent="0.2">
      <c r="A154" s="961"/>
      <c r="B154" s="719" t="s">
        <v>122</v>
      </c>
      <c r="C154" s="697">
        <v>1.7999999999999999E-6</v>
      </c>
      <c r="D154" s="117">
        <v>2.3800000000000001E-6</v>
      </c>
      <c r="E154" s="117">
        <v>2.3800000000000001E-6</v>
      </c>
      <c r="F154" s="698">
        <f t="shared" si="67"/>
        <v>1.614705882352941E-7</v>
      </c>
      <c r="G154" s="692">
        <f t="shared" si="68"/>
        <v>1.7294117647058823E-7</v>
      </c>
      <c r="H154" s="117">
        <f>D154*$B$139*$H$138</f>
        <v>1.6659405021249242E-6</v>
      </c>
      <c r="I154" s="117">
        <f>E154*$B$142</f>
        <v>1.9436666666666671E-6</v>
      </c>
      <c r="J154" s="704">
        <f t="shared" si="69"/>
        <v>1.7294117647058823E-7</v>
      </c>
      <c r="K154" s="697">
        <f t="shared" si="70"/>
        <v>7.5748235294117652E-7</v>
      </c>
      <c r="L154" s="117">
        <f>H154*8760/2000*H$138</f>
        <v>7.2968193993071679E-6</v>
      </c>
      <c r="M154" s="117">
        <f>I154*8760/2000*H$138</f>
        <v>8.5132600000000009E-6</v>
      </c>
      <c r="N154" s="698">
        <f t="shared" si="71"/>
        <v>7.5748235294117652E-7</v>
      </c>
      <c r="O154" s="709">
        <f t="shared" si="72"/>
        <v>1.9436666666666671E-6</v>
      </c>
      <c r="P154" s="158">
        <f t="shared" si="73"/>
        <v>8.5132600000000009E-6</v>
      </c>
      <c r="Q154" s="339">
        <f t="shared" si="74"/>
        <v>8.5132600000000009E-6</v>
      </c>
    </row>
    <row r="155" spans="1:17" s="124" customFormat="1" x14ac:dyDescent="0.2">
      <c r="A155" s="961"/>
      <c r="B155" s="719" t="s">
        <v>123</v>
      </c>
      <c r="C155" s="697">
        <v>1.1999999999999999E-3</v>
      </c>
      <c r="D155" s="117">
        <v>1.6700000000000001E-6</v>
      </c>
      <c r="E155" s="117">
        <v>1.6700000000000001E-6</v>
      </c>
      <c r="F155" s="698">
        <f t="shared" si="67"/>
        <v>1.0764705882352939E-4</v>
      </c>
      <c r="G155" s="692">
        <f t="shared" si="68"/>
        <v>1.1529411764705881E-4</v>
      </c>
      <c r="H155" s="117">
        <f>D155*$B$139*$H$138</f>
        <v>1.1689582514910182E-6</v>
      </c>
      <c r="I155" s="117">
        <f>E155*$B$142</f>
        <v>1.3638333333333336E-6</v>
      </c>
      <c r="J155" s="704">
        <f t="shared" si="69"/>
        <v>1.1529411764705881E-4</v>
      </c>
      <c r="K155" s="697">
        <f t="shared" si="70"/>
        <v>5.0498823529411757E-4</v>
      </c>
      <c r="L155" s="117">
        <f>H155*8760/2000*H$138</f>
        <v>5.1200371415306594E-6</v>
      </c>
      <c r="M155" s="117">
        <f>I155*8760/2000*H$138</f>
        <v>5.9735900000000009E-6</v>
      </c>
      <c r="N155" s="698">
        <f t="shared" si="71"/>
        <v>5.0498823529411757E-4</v>
      </c>
      <c r="O155" s="709">
        <f t="shared" si="72"/>
        <v>1.1529411764705881E-4</v>
      </c>
      <c r="P155" s="158">
        <f t="shared" si="73"/>
        <v>5.0498823529411757E-4</v>
      </c>
      <c r="Q155" s="339">
        <f t="shared" si="74"/>
        <v>5.0498823529411757E-4</v>
      </c>
    </row>
    <row r="156" spans="1:17" s="124" customFormat="1" x14ac:dyDescent="0.2">
      <c r="A156" s="961"/>
      <c r="B156" s="719" t="s">
        <v>124</v>
      </c>
      <c r="C156" s="697">
        <v>1.1999999999999999E-3</v>
      </c>
      <c r="D156" s="117"/>
      <c r="E156" s="117"/>
      <c r="F156" s="698">
        <f t="shared" si="67"/>
        <v>1.0764705882352939E-4</v>
      </c>
      <c r="G156" s="692">
        <f t="shared" si="68"/>
        <v>1.1529411764705881E-4</v>
      </c>
      <c r="H156" s="117"/>
      <c r="I156" s="324"/>
      <c r="J156" s="704">
        <f t="shared" si="69"/>
        <v>1.1529411764705881E-4</v>
      </c>
      <c r="K156" s="697">
        <f t="shared" si="70"/>
        <v>5.0498823529411757E-4</v>
      </c>
      <c r="L156" s="117"/>
      <c r="M156" s="117"/>
      <c r="N156" s="698">
        <f t="shared" si="71"/>
        <v>5.0498823529411757E-4</v>
      </c>
      <c r="O156" s="709">
        <f t="shared" si="72"/>
        <v>1.1529411764705881E-4</v>
      </c>
      <c r="P156" s="158">
        <f t="shared" si="73"/>
        <v>5.0498823529411757E-4</v>
      </c>
      <c r="Q156" s="339">
        <f t="shared" si="74"/>
        <v>5.0498823529411757E-4</v>
      </c>
    </row>
    <row r="157" spans="1:17" s="124" customFormat="1" x14ac:dyDescent="0.2">
      <c r="A157" s="961"/>
      <c r="B157" s="719" t="s">
        <v>214</v>
      </c>
      <c r="C157" s="697">
        <v>1.5999999999999999E-5</v>
      </c>
      <c r="D157" s="117"/>
      <c r="E157" s="117"/>
      <c r="F157" s="698">
        <f t="shared" si="67"/>
        <v>1.4352941176470588E-6</v>
      </c>
      <c r="G157" s="692">
        <f t="shared" si="68"/>
        <v>1.5372549019607843E-6</v>
      </c>
      <c r="H157" s="117"/>
      <c r="I157" s="324"/>
      <c r="J157" s="704">
        <f t="shared" si="69"/>
        <v>1.5372549019607845E-6</v>
      </c>
      <c r="K157" s="697">
        <f t="shared" si="70"/>
        <v>6.7331764705882345E-6</v>
      </c>
      <c r="L157" s="117"/>
      <c r="M157" s="117"/>
      <c r="N157" s="698">
        <f t="shared" si="71"/>
        <v>6.7331764705882362E-6</v>
      </c>
      <c r="O157" s="709">
        <f t="shared" si="72"/>
        <v>1.5372549019607845E-6</v>
      </c>
      <c r="P157" s="158">
        <f t="shared" si="73"/>
        <v>6.7331764705882362E-6</v>
      </c>
      <c r="Q157" s="339">
        <f t="shared" si="74"/>
        <v>6.7331764705882362E-6</v>
      </c>
    </row>
    <row r="158" spans="1:17" s="124" customFormat="1" x14ac:dyDescent="0.2">
      <c r="A158" s="961"/>
      <c r="B158" s="719" t="s">
        <v>125</v>
      </c>
      <c r="C158" s="697"/>
      <c r="D158" s="117">
        <v>6.3600000000000001E-5</v>
      </c>
      <c r="E158" s="117">
        <v>6.3600000000000001E-5</v>
      </c>
      <c r="F158" s="698"/>
      <c r="G158" s="692"/>
      <c r="H158" s="117">
        <f>D158*$B$139*$H$138</f>
        <v>4.4518410056783691E-5</v>
      </c>
      <c r="I158" s="117">
        <f>E158*$B$142</f>
        <v>5.1940000000000008E-5</v>
      </c>
      <c r="J158" s="704"/>
      <c r="K158" s="697"/>
      <c r="L158" s="117">
        <f>H158*8760/2000*H$138</f>
        <v>1.9499063604871256E-4</v>
      </c>
      <c r="M158" s="117">
        <f>I158*8760/2000*H$138</f>
        <v>2.2749720000000005E-4</v>
      </c>
      <c r="N158" s="698"/>
      <c r="O158" s="709">
        <f t="shared" si="72"/>
        <v>5.1940000000000008E-5</v>
      </c>
      <c r="P158" s="158">
        <f t="shared" si="73"/>
        <v>2.2749720000000005E-4</v>
      </c>
      <c r="Q158" s="339">
        <f t="shared" si="74"/>
        <v>2.2749720000000005E-4</v>
      </c>
    </row>
    <row r="159" spans="1:17" s="124" customFormat="1" x14ac:dyDescent="0.2">
      <c r="A159" s="961"/>
      <c r="B159" s="719" t="s">
        <v>126</v>
      </c>
      <c r="C159" s="697">
        <v>3.0000000000000001E-6</v>
      </c>
      <c r="D159" s="117">
        <v>4.8400000000000002E-6</v>
      </c>
      <c r="E159" s="117">
        <v>4.8400000000000002E-6</v>
      </c>
      <c r="F159" s="698">
        <f t="shared" ref="F159:F167" si="75">C159/$H$140*$H$143*1000</f>
        <v>2.6911764705882348E-7</v>
      </c>
      <c r="G159" s="692">
        <f t="shared" ref="G159:G167" si="76">C159*$B$140</f>
        <v>2.8823529411764707E-7</v>
      </c>
      <c r="H159" s="117">
        <f>D159*$B$139*$H$138</f>
        <v>3.3878790043212744E-6</v>
      </c>
      <c r="I159" s="117">
        <f>E159*$B$142</f>
        <v>3.9526666666666677E-6</v>
      </c>
      <c r="J159" s="704">
        <f t="shared" ref="J159:J167" si="77">F159*$B$143</f>
        <v>2.8823529411764702E-7</v>
      </c>
      <c r="K159" s="697">
        <f t="shared" ref="K159:K167" si="78">G159*8760/2000</f>
        <v>1.2624705882352941E-6</v>
      </c>
      <c r="L159" s="117">
        <f>H159*8760/2000*H$138</f>
        <v>1.4838910038927181E-5</v>
      </c>
      <c r="M159" s="117">
        <f>I159*8760/2000*H$138</f>
        <v>1.7312680000000003E-5</v>
      </c>
      <c r="N159" s="698">
        <f t="shared" ref="N159:N167" si="79">J159*8760/2000*H$138</f>
        <v>1.2624705882352939E-6</v>
      </c>
      <c r="O159" s="709">
        <f t="shared" si="72"/>
        <v>3.9526666666666677E-6</v>
      </c>
      <c r="P159" s="158">
        <f t="shared" si="73"/>
        <v>1.7312680000000003E-5</v>
      </c>
      <c r="Q159" s="339">
        <f t="shared" si="74"/>
        <v>1.7312680000000003E-5</v>
      </c>
    </row>
    <row r="160" spans="1:17" s="124" customFormat="1" x14ac:dyDescent="0.2">
      <c r="A160" s="961"/>
      <c r="B160" s="719" t="s">
        <v>127</v>
      </c>
      <c r="C160" s="697">
        <v>2.7999999999999999E-6</v>
      </c>
      <c r="D160" s="117">
        <v>4.4700000000000004E-6</v>
      </c>
      <c r="E160" s="117">
        <v>4.4700000000000004E-6</v>
      </c>
      <c r="F160" s="698">
        <f t="shared" si="75"/>
        <v>2.5117647058823527E-7</v>
      </c>
      <c r="G160" s="692">
        <f t="shared" si="76"/>
        <v>2.6901960784313724E-7</v>
      </c>
      <c r="H160" s="117">
        <f>D160*$B$139*$H$138</f>
        <v>3.1288882539909293E-6</v>
      </c>
      <c r="I160" s="117">
        <f>E160*$B$142</f>
        <v>3.6505000000000009E-6</v>
      </c>
      <c r="J160" s="704">
        <f t="shared" si="77"/>
        <v>2.6901960784313724E-7</v>
      </c>
      <c r="K160" s="697">
        <f t="shared" si="78"/>
        <v>1.178305882352941E-6</v>
      </c>
      <c r="L160" s="117">
        <f>H160*8760/2000*H$138</f>
        <v>1.3704530552480272E-5</v>
      </c>
      <c r="M160" s="117">
        <f>I160*8760/2000*H$138</f>
        <v>1.5989190000000005E-5</v>
      </c>
      <c r="N160" s="698">
        <f t="shared" si="79"/>
        <v>1.178305882352941E-6</v>
      </c>
      <c r="O160" s="709">
        <f t="shared" si="72"/>
        <v>3.6505000000000009E-6</v>
      </c>
      <c r="P160" s="158">
        <f t="shared" si="73"/>
        <v>1.5989190000000005E-5</v>
      </c>
      <c r="Q160" s="339">
        <f t="shared" si="74"/>
        <v>1.5989190000000005E-5</v>
      </c>
    </row>
    <row r="161" spans="1:24" s="124" customFormat="1" x14ac:dyDescent="0.2">
      <c r="A161" s="961"/>
      <c r="B161" s="719" t="s">
        <v>128</v>
      </c>
      <c r="C161" s="697">
        <v>7.4999999999999997E-2</v>
      </c>
      <c r="D161" s="117">
        <v>3.3000000000000002E-2</v>
      </c>
      <c r="E161" s="117">
        <f>'RAFVO Emission Factors'!F24</f>
        <v>2.4000000000000002E-3</v>
      </c>
      <c r="F161" s="698">
        <f t="shared" si="75"/>
        <v>6.7279411764705876E-3</v>
      </c>
      <c r="G161" s="692">
        <f t="shared" si="76"/>
        <v>7.2058823529411765E-3</v>
      </c>
      <c r="H161" s="117">
        <f>D161*$B$139*$H$138</f>
        <v>2.3099175029463234E-2</v>
      </c>
      <c r="I161" s="117">
        <f>E161*$B$142</f>
        <v>1.9600000000000004E-3</v>
      </c>
      <c r="J161" s="704">
        <f t="shared" si="77"/>
        <v>7.2058823529411765E-3</v>
      </c>
      <c r="K161" s="697">
        <f t="shared" si="78"/>
        <v>3.1561764705882352E-2</v>
      </c>
      <c r="L161" s="117">
        <f>H161*8760/2000*H$138</f>
        <v>0.10117438662904897</v>
      </c>
      <c r="M161" s="117">
        <f>I161*8760/2000*H$138</f>
        <v>8.5848000000000018E-3</v>
      </c>
      <c r="N161" s="698">
        <f t="shared" si="79"/>
        <v>3.1561764705882352E-2</v>
      </c>
      <c r="O161" s="709">
        <f t="shared" si="72"/>
        <v>2.3099175029463234E-2</v>
      </c>
      <c r="P161" s="158">
        <f t="shared" si="73"/>
        <v>0.10117438662904897</v>
      </c>
      <c r="Q161" s="339">
        <f t="shared" si="74"/>
        <v>0.10117438662904897</v>
      </c>
      <c r="X161" s="150"/>
    </row>
    <row r="162" spans="1:24" s="124" customFormat="1" ht="12.75" customHeight="1" x14ac:dyDescent="0.2">
      <c r="A162" s="961"/>
      <c r="B162" s="719" t="s">
        <v>129</v>
      </c>
      <c r="C162" s="697">
        <v>1.8</v>
      </c>
      <c r="D162" s="117"/>
      <c r="E162" s="117"/>
      <c r="F162" s="698">
        <f t="shared" si="75"/>
        <v>0.16147058823529412</v>
      </c>
      <c r="G162" s="692">
        <f t="shared" si="76"/>
        <v>0.17294117647058824</v>
      </c>
      <c r="H162" s="117"/>
      <c r="I162" s="324"/>
      <c r="J162" s="704">
        <f t="shared" si="77"/>
        <v>0.17294117647058824</v>
      </c>
      <c r="K162" s="697">
        <f t="shared" si="78"/>
        <v>0.7574823529411765</v>
      </c>
      <c r="L162" s="117"/>
      <c r="M162" s="117"/>
      <c r="N162" s="698">
        <f t="shared" si="79"/>
        <v>0.7574823529411765</v>
      </c>
      <c r="O162" s="709">
        <f t="shared" si="72"/>
        <v>0.17294117647058824</v>
      </c>
      <c r="P162" s="158">
        <f t="shared" si="73"/>
        <v>0.7574823529411765</v>
      </c>
      <c r="Q162" s="339">
        <f t="shared" si="74"/>
        <v>0.7574823529411765</v>
      </c>
    </row>
    <row r="163" spans="1:24" s="124" customFormat="1" x14ac:dyDescent="0.2">
      <c r="A163" s="961"/>
      <c r="B163" s="719" t="s">
        <v>130</v>
      </c>
      <c r="C163" s="697">
        <v>1.7999999999999999E-6</v>
      </c>
      <c r="D163" s="117">
        <v>2.1399999999999998E-6</v>
      </c>
      <c r="E163" s="117">
        <v>2.1399999999999998E-6</v>
      </c>
      <c r="F163" s="698">
        <f t="shared" si="75"/>
        <v>1.614705882352941E-7</v>
      </c>
      <c r="G163" s="692">
        <f t="shared" si="76"/>
        <v>1.7294117647058823E-7</v>
      </c>
      <c r="H163" s="117">
        <f>D163*$B$139*$H$138</f>
        <v>1.4979465019106459E-6</v>
      </c>
      <c r="I163" s="117">
        <f>E163*$B$142</f>
        <v>1.7476666666666668E-6</v>
      </c>
      <c r="J163" s="704">
        <f t="shared" si="77"/>
        <v>1.7294117647058823E-7</v>
      </c>
      <c r="K163" s="697">
        <f t="shared" si="78"/>
        <v>7.5748235294117652E-7</v>
      </c>
      <c r="L163" s="117">
        <f>H163*8760/2000*H$138</f>
        <v>6.5610056783686287E-6</v>
      </c>
      <c r="M163" s="117">
        <f>I163*8760/2000*H$138</f>
        <v>7.6547800000000003E-6</v>
      </c>
      <c r="N163" s="698">
        <f t="shared" si="79"/>
        <v>7.5748235294117652E-7</v>
      </c>
      <c r="O163" s="709">
        <f t="shared" si="72"/>
        <v>1.7476666666666668E-6</v>
      </c>
      <c r="P163" s="158">
        <f t="shared" si="73"/>
        <v>7.6547800000000003E-6</v>
      </c>
      <c r="Q163" s="339">
        <f t="shared" si="74"/>
        <v>7.6547800000000003E-6</v>
      </c>
    </row>
    <row r="164" spans="1:24" s="124" customFormat="1" x14ac:dyDescent="0.2">
      <c r="A164" s="961"/>
      <c r="B164" s="719" t="s">
        <v>216</v>
      </c>
      <c r="C164" s="697">
        <v>2.4000000000000001E-5</v>
      </c>
      <c r="D164" s="117"/>
      <c r="E164" s="117"/>
      <c r="F164" s="698">
        <f t="shared" si="75"/>
        <v>2.1529411764705878E-6</v>
      </c>
      <c r="G164" s="692">
        <f t="shared" si="76"/>
        <v>2.3058823529411766E-6</v>
      </c>
      <c r="H164" s="117"/>
      <c r="I164" s="324"/>
      <c r="J164" s="704">
        <f t="shared" si="77"/>
        <v>2.3058823529411762E-6</v>
      </c>
      <c r="K164" s="697">
        <f t="shared" si="78"/>
        <v>1.0099764705882353E-5</v>
      </c>
      <c r="L164" s="117"/>
      <c r="M164" s="117"/>
      <c r="N164" s="698">
        <f t="shared" si="79"/>
        <v>1.0099764705882351E-5</v>
      </c>
      <c r="O164" s="709">
        <f t="shared" si="72"/>
        <v>2.3058823529411766E-6</v>
      </c>
      <c r="P164" s="158">
        <f>O164*8760/2000</f>
        <v>1.0099764705882353E-5</v>
      </c>
      <c r="Q164" s="339">
        <f t="shared" si="74"/>
        <v>1.0099764705882353E-5</v>
      </c>
    </row>
    <row r="165" spans="1:24" s="124" customFormat="1" x14ac:dyDescent="0.2">
      <c r="A165" s="961"/>
      <c r="B165" s="719" t="s">
        <v>217</v>
      </c>
      <c r="C165" s="697">
        <v>1.7999999999999999E-6</v>
      </c>
      <c r="D165" s="117"/>
      <c r="E165" s="117"/>
      <c r="F165" s="698">
        <f t="shared" si="75"/>
        <v>1.614705882352941E-7</v>
      </c>
      <c r="G165" s="692">
        <f t="shared" si="76"/>
        <v>1.7294117647058823E-7</v>
      </c>
      <c r="H165" s="117"/>
      <c r="I165" s="324"/>
      <c r="J165" s="704">
        <f t="shared" si="77"/>
        <v>1.7294117647058823E-7</v>
      </c>
      <c r="K165" s="697">
        <f t="shared" si="78"/>
        <v>7.5748235294117652E-7</v>
      </c>
      <c r="L165" s="117"/>
      <c r="M165" s="117"/>
      <c r="N165" s="698">
        <f t="shared" si="79"/>
        <v>7.5748235294117652E-7</v>
      </c>
      <c r="O165" s="709">
        <f t="shared" si="72"/>
        <v>1.7294117647058823E-7</v>
      </c>
      <c r="P165" s="158">
        <f>O165*8760/2000</f>
        <v>7.5748235294117652E-7</v>
      </c>
      <c r="Q165" s="339">
        <f t="shared" si="74"/>
        <v>7.5748235294117652E-7</v>
      </c>
    </row>
    <row r="166" spans="1:24" s="124" customFormat="1" x14ac:dyDescent="0.2">
      <c r="A166" s="961"/>
      <c r="B166" s="719" t="s">
        <v>131</v>
      </c>
      <c r="C166" s="697">
        <v>6.0999999999999997E-4</v>
      </c>
      <c r="D166" s="117">
        <v>1.1299999999999999E-3</v>
      </c>
      <c r="E166" s="117">
        <v>1.1299999999999999E-3</v>
      </c>
      <c r="F166" s="698">
        <f t="shared" si="75"/>
        <v>5.4720588235294111E-5</v>
      </c>
      <c r="G166" s="692">
        <f t="shared" si="76"/>
        <v>5.8607843137254902E-5</v>
      </c>
      <c r="H166" s="117">
        <f>D166*$B$139*$H$138</f>
        <v>7.9097175100889246E-4</v>
      </c>
      <c r="I166" s="117">
        <f>E166*$B$142</f>
        <v>9.2283333333333334E-4</v>
      </c>
      <c r="J166" s="704">
        <f t="shared" si="77"/>
        <v>5.8607843137254902E-5</v>
      </c>
      <c r="K166" s="697">
        <f t="shared" si="78"/>
        <v>2.5670235294117648E-4</v>
      </c>
      <c r="L166" s="117">
        <f>H166*8760/2000*H$138</f>
        <v>3.4644562694189493E-3</v>
      </c>
      <c r="M166" s="117">
        <f>I166*8760/2000*H$138</f>
        <v>4.0420100000000004E-3</v>
      </c>
      <c r="N166" s="698">
        <f t="shared" si="79"/>
        <v>2.5670235294117648E-4</v>
      </c>
      <c r="O166" s="709">
        <f t="shared" si="72"/>
        <v>9.2283333333333334E-4</v>
      </c>
      <c r="P166" s="158">
        <f t="shared" ref="P166:P167" si="80">O166*8760/2000</f>
        <v>4.0420100000000004E-3</v>
      </c>
      <c r="Q166" s="339">
        <f t="shared" si="74"/>
        <v>4.0420100000000004E-3</v>
      </c>
    </row>
    <row r="167" spans="1:24" s="124" customFormat="1" x14ac:dyDescent="0.2">
      <c r="A167" s="961"/>
      <c r="B167" s="719" t="s">
        <v>132</v>
      </c>
      <c r="C167" s="697">
        <v>1.7E-5</v>
      </c>
      <c r="D167" s="117">
        <v>1.0499999999999999E-5</v>
      </c>
      <c r="E167" s="117">
        <v>1.0499999999999999E-5</v>
      </c>
      <c r="F167" s="698">
        <f t="shared" si="75"/>
        <v>1.525E-6</v>
      </c>
      <c r="G167" s="692">
        <f t="shared" si="76"/>
        <v>1.6333333333333335E-6</v>
      </c>
      <c r="H167" s="117">
        <f>D167*$B$139*$H$138</f>
        <v>7.3497375093746652E-6</v>
      </c>
      <c r="I167" s="117">
        <f>E167*$B$142</f>
        <v>8.5750000000000001E-6</v>
      </c>
      <c r="J167" s="704">
        <f t="shared" si="77"/>
        <v>1.6333333333333335E-6</v>
      </c>
      <c r="K167" s="697">
        <f t="shared" si="78"/>
        <v>7.1540000000000005E-6</v>
      </c>
      <c r="L167" s="117">
        <f>H167*8760/2000*H$138</f>
        <v>3.2191850291061028E-5</v>
      </c>
      <c r="M167" s="117">
        <f>I167*8760/2000*H$138</f>
        <v>3.7558500000000003E-5</v>
      </c>
      <c r="N167" s="698">
        <f t="shared" si="79"/>
        <v>7.1540000000000005E-6</v>
      </c>
      <c r="O167" s="709">
        <f t="shared" si="72"/>
        <v>8.5750000000000001E-6</v>
      </c>
      <c r="P167" s="158">
        <f t="shared" si="80"/>
        <v>3.7558500000000003E-5</v>
      </c>
      <c r="Q167" s="339">
        <f t="shared" si="74"/>
        <v>3.7558500000000003E-5</v>
      </c>
    </row>
    <row r="168" spans="1:24" s="124" customFormat="1" x14ac:dyDescent="0.2">
      <c r="A168" s="961"/>
      <c r="B168" s="719" t="s">
        <v>242</v>
      </c>
      <c r="C168" s="697"/>
      <c r="D168" s="117"/>
      <c r="E168" s="117"/>
      <c r="F168" s="698"/>
      <c r="G168" s="692"/>
      <c r="H168" s="117"/>
      <c r="I168" s="324"/>
      <c r="J168" s="704"/>
      <c r="K168" s="697"/>
      <c r="L168" s="117"/>
      <c r="M168" s="117"/>
      <c r="N168" s="698"/>
      <c r="O168" s="709"/>
      <c r="P168" s="158"/>
      <c r="Q168" s="339"/>
    </row>
    <row r="169" spans="1:24" s="124" customFormat="1" x14ac:dyDescent="0.2">
      <c r="A169" s="961"/>
      <c r="B169" s="719" t="s">
        <v>133</v>
      </c>
      <c r="C169" s="697">
        <v>5.0000000000000004E-6</v>
      </c>
      <c r="D169" s="117">
        <v>4.25E-6</v>
      </c>
      <c r="E169" s="117">
        <v>4.25E-6</v>
      </c>
      <c r="F169" s="698">
        <f>C169/$H$140*$H$143*1000</f>
        <v>4.4852941176470594E-7</v>
      </c>
      <c r="G169" s="692">
        <f>C169*$B$140</f>
        <v>4.8039215686274521E-7</v>
      </c>
      <c r="H169" s="117">
        <f t="shared" ref="H169:H176" si="81">D169*$B$139*$H$138</f>
        <v>2.9748937537945074E-6</v>
      </c>
      <c r="I169" s="117">
        <f t="shared" ref="I169:I176" si="82">E169*$B$142</f>
        <v>3.4708333333333337E-6</v>
      </c>
      <c r="J169" s="704">
        <f>F169*$B$143</f>
        <v>4.8039215686274521E-7</v>
      </c>
      <c r="K169" s="697">
        <f>G169*8760/2000</f>
        <v>2.104117647058824E-6</v>
      </c>
      <c r="L169" s="117">
        <f t="shared" ref="L169:L176" si="83">H169*8760/2000*H$138</f>
        <v>1.3030034641619943E-5</v>
      </c>
      <c r="M169" s="117">
        <f t="shared" ref="M169:M176" si="84">I169*8760/2000*H$138</f>
        <v>1.5202250000000002E-5</v>
      </c>
      <c r="N169" s="698">
        <f>J169*8760/2000*H$138</f>
        <v>2.104117647058824E-6</v>
      </c>
      <c r="O169" s="709">
        <f>MAX(G169:J169)</f>
        <v>3.4708333333333337E-6</v>
      </c>
      <c r="P169" s="158">
        <f t="shared" ref="P169:P170" si="85">O169*8760/2000</f>
        <v>1.5202250000000002E-5</v>
      </c>
      <c r="Q169" s="339">
        <f t="shared" si="74"/>
        <v>1.5202250000000002E-5</v>
      </c>
    </row>
    <row r="170" spans="1:24" s="124" customFormat="1" x14ac:dyDescent="0.2">
      <c r="A170" s="961"/>
      <c r="B170" s="719" t="s">
        <v>134</v>
      </c>
      <c r="C170" s="697">
        <v>3.3999999999999998E-3</v>
      </c>
      <c r="D170" s="117">
        <v>6.1999999999999998E-3</v>
      </c>
      <c r="E170" s="117">
        <v>6.1999999999999998E-3</v>
      </c>
      <c r="F170" s="698">
        <f>C170/$H$140*$H$143*1000</f>
        <v>3.0499999999999999E-4</v>
      </c>
      <c r="G170" s="692">
        <f>C170*$B$140</f>
        <v>3.2666666666666667E-4</v>
      </c>
      <c r="H170" s="117">
        <f t="shared" si="81"/>
        <v>4.3398450055355167E-3</v>
      </c>
      <c r="I170" s="117">
        <f t="shared" si="82"/>
        <v>5.0633333333333337E-3</v>
      </c>
      <c r="J170" s="704">
        <f>F170*$B$143</f>
        <v>3.2666666666666667E-4</v>
      </c>
      <c r="K170" s="697">
        <f>G170*8760/2000</f>
        <v>1.4308000000000001E-3</v>
      </c>
      <c r="L170" s="117">
        <f t="shared" si="83"/>
        <v>1.9008521124245562E-2</v>
      </c>
      <c r="M170" s="117">
        <f t="shared" si="84"/>
        <v>2.2177400000000003E-2</v>
      </c>
      <c r="N170" s="698">
        <f>J170*8760/2000*H$138</f>
        <v>1.4308000000000001E-3</v>
      </c>
      <c r="O170" s="709">
        <f t="shared" ref="O170:O181" si="86">MAX(G170:J170)</f>
        <v>5.0633333333333337E-3</v>
      </c>
      <c r="P170" s="158">
        <f t="shared" si="85"/>
        <v>2.2177400000000003E-2</v>
      </c>
      <c r="Q170" s="339">
        <f t="shared" si="74"/>
        <v>2.2177400000000003E-2</v>
      </c>
    </row>
    <row r="171" spans="1:24" s="124" customFormat="1" x14ac:dyDescent="0.2">
      <c r="A171" s="961"/>
      <c r="B171" s="719" t="s">
        <v>240</v>
      </c>
      <c r="C171" s="697"/>
      <c r="D171" s="117">
        <v>2.3599999999999999E-4</v>
      </c>
      <c r="E171" s="117">
        <v>2.3599999999999999E-4</v>
      </c>
      <c r="F171" s="698"/>
      <c r="G171" s="692"/>
      <c r="H171" s="117">
        <f t="shared" si="81"/>
        <v>1.6519410021070675E-4</v>
      </c>
      <c r="I171" s="117">
        <f t="shared" si="82"/>
        <v>1.9273333333333335E-4</v>
      </c>
      <c r="J171" s="704"/>
      <c r="K171" s="697"/>
      <c r="L171" s="117">
        <f t="shared" si="83"/>
        <v>7.2355015892289556E-4</v>
      </c>
      <c r="M171" s="117">
        <f t="shared" si="84"/>
        <v>8.4417200000000002E-4</v>
      </c>
      <c r="N171" s="698"/>
      <c r="O171" s="709">
        <f t="shared" si="86"/>
        <v>1.9273333333333335E-4</v>
      </c>
      <c r="P171" s="158">
        <f>O171*8760/2000</f>
        <v>8.4417200000000002E-4</v>
      </c>
      <c r="Q171" s="339">
        <f t="shared" si="74"/>
        <v>8.4417200000000002E-4</v>
      </c>
    </row>
    <row r="172" spans="1:24" s="124" customFormat="1" x14ac:dyDescent="0.2">
      <c r="A172" s="961"/>
      <c r="B172" s="719" t="s">
        <v>135</v>
      </c>
      <c r="C172" s="697"/>
      <c r="D172" s="117">
        <v>1.0900000000000001E-4</v>
      </c>
      <c r="E172" s="117">
        <v>1.0900000000000001E-4</v>
      </c>
      <c r="F172" s="698"/>
      <c r="G172" s="692"/>
      <c r="H172" s="117">
        <f t="shared" si="81"/>
        <v>7.6297275097317964E-5</v>
      </c>
      <c r="I172" s="117">
        <f t="shared" si="82"/>
        <v>8.9016666666666685E-5</v>
      </c>
      <c r="J172" s="704"/>
      <c r="K172" s="697"/>
      <c r="L172" s="117">
        <f t="shared" si="83"/>
        <v>3.3418206492625267E-4</v>
      </c>
      <c r="M172" s="117">
        <f t="shared" si="84"/>
        <v>3.898930000000001E-4</v>
      </c>
      <c r="N172" s="698"/>
      <c r="O172" s="709">
        <f t="shared" si="86"/>
        <v>8.9016666666666685E-5</v>
      </c>
      <c r="P172" s="158">
        <f t="shared" ref="P172:P180" si="87">O172*8760/2000</f>
        <v>3.898930000000001E-4</v>
      </c>
      <c r="Q172" s="339">
        <f t="shared" si="74"/>
        <v>3.898930000000001E-4</v>
      </c>
    </row>
    <row r="173" spans="1:24" s="124" customFormat="1" x14ac:dyDescent="0.2">
      <c r="A173" s="961"/>
      <c r="B173" s="719" t="s">
        <v>137</v>
      </c>
      <c r="C173" s="697">
        <v>2.0000000000000001E-4</v>
      </c>
      <c r="D173" s="117">
        <f>(0.000004)*$H$139/1000</f>
        <v>5.6002E-10</v>
      </c>
      <c r="E173" s="117">
        <f>(0.000004)*$H$70/1000</f>
        <v>5.6002E-10</v>
      </c>
      <c r="F173" s="698">
        <f t="shared" ref="F173:F181" si="88">C173/$H$140*$H$143*1000</f>
        <v>1.7941176470588237E-5</v>
      </c>
      <c r="G173" s="692">
        <f t="shared" ref="G173:G181" si="89">C173*$B$140</f>
        <v>1.9215686274509807E-5</v>
      </c>
      <c r="H173" s="117">
        <f t="shared" si="81"/>
        <v>3.9199999999999999E-10</v>
      </c>
      <c r="I173" s="117">
        <f t="shared" si="82"/>
        <v>4.5734966666666671E-10</v>
      </c>
      <c r="J173" s="704">
        <f t="shared" ref="J173:J181" si="90">F173*$B$143</f>
        <v>1.9215686274509807E-5</v>
      </c>
      <c r="K173" s="697">
        <f t="shared" ref="K173:K194" si="91">G173*8760/2000</f>
        <v>8.4164705882352952E-5</v>
      </c>
      <c r="L173" s="117">
        <f t="shared" si="83"/>
        <v>1.71696E-9</v>
      </c>
      <c r="M173" s="117">
        <f t="shared" si="84"/>
        <v>2.0031915400000002E-9</v>
      </c>
      <c r="N173" s="698">
        <f t="shared" ref="N173:N191" si="92">J173*8760/2000*H$138</f>
        <v>8.4164705882352952E-5</v>
      </c>
      <c r="O173" s="709">
        <f t="shared" si="86"/>
        <v>1.9215686274509807E-5</v>
      </c>
      <c r="P173" s="158">
        <f t="shared" si="87"/>
        <v>8.4164705882352952E-5</v>
      </c>
      <c r="Q173" s="339">
        <f t="shared" si="74"/>
        <v>8.4164705882352952E-5</v>
      </c>
      <c r="X173" s="150"/>
    </row>
    <row r="174" spans="1:24" s="124" customFormat="1" x14ac:dyDescent="0.2">
      <c r="A174" s="961"/>
      <c r="B174" s="687" t="s">
        <v>138</v>
      </c>
      <c r="C174" s="697">
        <v>1.2E-5</v>
      </c>
      <c r="D174" s="117">
        <f>(0.000003)*$H$139/1000</f>
        <v>4.2001499999999997E-10</v>
      </c>
      <c r="E174" s="117">
        <f>(0.000003)*$H$70/1000</f>
        <v>4.2001499999999997E-10</v>
      </c>
      <c r="F174" s="698">
        <f t="shared" si="88"/>
        <v>1.0764705882352939E-6</v>
      </c>
      <c r="G174" s="692">
        <f t="shared" si="89"/>
        <v>1.1529411764705883E-6</v>
      </c>
      <c r="H174" s="117">
        <f t="shared" si="81"/>
        <v>2.9399999999999997E-10</v>
      </c>
      <c r="I174" s="117">
        <f t="shared" si="82"/>
        <v>3.4301225000000003E-10</v>
      </c>
      <c r="J174" s="704">
        <f t="shared" si="90"/>
        <v>1.1529411764705881E-6</v>
      </c>
      <c r="K174" s="697">
        <f t="shared" si="91"/>
        <v>5.0498823529411765E-6</v>
      </c>
      <c r="L174" s="117">
        <f t="shared" si="83"/>
        <v>1.28772E-9</v>
      </c>
      <c r="M174" s="117">
        <f t="shared" si="84"/>
        <v>1.5023936550000003E-9</v>
      </c>
      <c r="N174" s="698">
        <f t="shared" si="92"/>
        <v>5.0498823529411756E-6</v>
      </c>
      <c r="O174" s="709">
        <f t="shared" si="86"/>
        <v>1.1529411764705883E-6</v>
      </c>
      <c r="P174" s="158">
        <f t="shared" si="87"/>
        <v>5.0498823529411765E-6</v>
      </c>
      <c r="Q174" s="339">
        <f t="shared" si="74"/>
        <v>5.0498823529411765E-6</v>
      </c>
      <c r="X174" s="150"/>
    </row>
    <row r="175" spans="1:24" s="124" customFormat="1" x14ac:dyDescent="0.2">
      <c r="A175" s="961"/>
      <c r="B175" s="687" t="s">
        <v>139</v>
      </c>
      <c r="C175" s="697">
        <v>1.1000000000000001E-3</v>
      </c>
      <c r="D175" s="117">
        <f>(0.000003)*$H$139/1000</f>
        <v>4.2001499999999997E-10</v>
      </c>
      <c r="E175" s="117">
        <f>(0.000003)*$H$70/1000</f>
        <v>4.2001499999999997E-10</v>
      </c>
      <c r="F175" s="698">
        <f t="shared" si="88"/>
        <v>9.8676470588235292E-5</v>
      </c>
      <c r="G175" s="692">
        <f t="shared" si="89"/>
        <v>1.0568627450980393E-4</v>
      </c>
      <c r="H175" s="117">
        <f t="shared" si="81"/>
        <v>2.9399999999999997E-10</v>
      </c>
      <c r="I175" s="117">
        <f t="shared" si="82"/>
        <v>3.4301225000000003E-10</v>
      </c>
      <c r="J175" s="704">
        <f t="shared" si="90"/>
        <v>1.0568627450980393E-4</v>
      </c>
      <c r="K175" s="697">
        <f t="shared" si="91"/>
        <v>4.629058823529412E-4</v>
      </c>
      <c r="L175" s="117">
        <f t="shared" si="83"/>
        <v>1.28772E-9</v>
      </c>
      <c r="M175" s="117">
        <f t="shared" si="84"/>
        <v>1.5023936550000003E-9</v>
      </c>
      <c r="N175" s="698">
        <f t="shared" si="92"/>
        <v>4.629058823529412E-4</v>
      </c>
      <c r="O175" s="709">
        <f t="shared" si="86"/>
        <v>1.0568627450980393E-4</v>
      </c>
      <c r="P175" s="158">
        <f t="shared" si="87"/>
        <v>4.629058823529412E-4</v>
      </c>
      <c r="Q175" s="339">
        <f t="shared" si="74"/>
        <v>4.629058823529412E-4</v>
      </c>
      <c r="X175" s="150"/>
    </row>
    <row r="176" spans="1:24" s="124" customFormat="1" x14ac:dyDescent="0.2">
      <c r="A176" s="961"/>
      <c r="B176" s="687" t="s">
        <v>140</v>
      </c>
      <c r="C176" s="697">
        <v>1.4E-3</v>
      </c>
      <c r="D176" s="117">
        <f>(0.000003)*$H$139/1000</f>
        <v>4.2001499999999997E-10</v>
      </c>
      <c r="E176" s="117">
        <f>(0.000003)*$H$70/1000</f>
        <v>4.2001499999999997E-10</v>
      </c>
      <c r="F176" s="698">
        <f t="shared" si="88"/>
        <v>1.2558823529411765E-4</v>
      </c>
      <c r="G176" s="692">
        <f t="shared" si="89"/>
        <v>1.3450980392156863E-4</v>
      </c>
      <c r="H176" s="117">
        <f t="shared" si="81"/>
        <v>2.9399999999999997E-10</v>
      </c>
      <c r="I176" s="117">
        <f t="shared" si="82"/>
        <v>3.4301225000000003E-10</v>
      </c>
      <c r="J176" s="704">
        <f t="shared" si="90"/>
        <v>1.3450980392156863E-4</v>
      </c>
      <c r="K176" s="697">
        <f t="shared" si="91"/>
        <v>5.8915294117647065E-4</v>
      </c>
      <c r="L176" s="117">
        <f t="shared" si="83"/>
        <v>1.28772E-9</v>
      </c>
      <c r="M176" s="117">
        <f t="shared" si="84"/>
        <v>1.5023936550000003E-9</v>
      </c>
      <c r="N176" s="698">
        <f t="shared" si="92"/>
        <v>5.8915294117647065E-4</v>
      </c>
      <c r="O176" s="709">
        <f t="shared" si="86"/>
        <v>1.3450980392156863E-4</v>
      </c>
      <c r="P176" s="158">
        <f t="shared" si="87"/>
        <v>5.8915294117647065E-4</v>
      </c>
      <c r="Q176" s="339">
        <f t="shared" si="74"/>
        <v>5.8915294117647065E-4</v>
      </c>
      <c r="X176" s="150"/>
    </row>
    <row r="177" spans="1:24" s="124" customFormat="1" x14ac:dyDescent="0.2">
      <c r="A177" s="961"/>
      <c r="B177" s="687" t="s">
        <v>141</v>
      </c>
      <c r="C177" s="697">
        <v>8.3999999999999995E-5</v>
      </c>
      <c r="D177" s="117"/>
      <c r="E177" s="117"/>
      <c r="F177" s="698">
        <f t="shared" si="88"/>
        <v>7.535294117647058E-6</v>
      </c>
      <c r="G177" s="692">
        <f t="shared" si="89"/>
        <v>8.070588235294117E-6</v>
      </c>
      <c r="H177" s="117"/>
      <c r="I177" s="324"/>
      <c r="J177" s="704">
        <f t="shared" si="90"/>
        <v>8.070588235294117E-6</v>
      </c>
      <c r="K177" s="697">
        <f t="shared" si="91"/>
        <v>3.5349176470588234E-5</v>
      </c>
      <c r="L177" s="117"/>
      <c r="M177" s="117"/>
      <c r="N177" s="698">
        <f t="shared" si="92"/>
        <v>3.5349176470588234E-5</v>
      </c>
      <c r="O177" s="709">
        <f t="shared" si="86"/>
        <v>8.070588235294117E-6</v>
      </c>
      <c r="P177" s="158">
        <f t="shared" si="87"/>
        <v>3.5349176470588234E-5</v>
      </c>
      <c r="Q177" s="339">
        <f t="shared" si="74"/>
        <v>3.5349176470588234E-5</v>
      </c>
      <c r="X177" s="150"/>
    </row>
    <row r="178" spans="1:24" s="124" customFormat="1" x14ac:dyDescent="0.2">
      <c r="A178" s="961"/>
      <c r="B178" s="687" t="s">
        <v>142</v>
      </c>
      <c r="C178" s="697">
        <v>3.8000000000000002E-4</v>
      </c>
      <c r="D178" s="117">
        <f>(0.000006)*$H$139/1000</f>
        <v>8.4002999999999994E-10</v>
      </c>
      <c r="E178" s="117">
        <f>(0.000006)*$H$70/1000</f>
        <v>8.4002999999999994E-10</v>
      </c>
      <c r="F178" s="698">
        <f t="shared" si="88"/>
        <v>3.4088235294117648E-5</v>
      </c>
      <c r="G178" s="692">
        <f t="shared" si="89"/>
        <v>3.650980392156863E-5</v>
      </c>
      <c r="H178" s="117">
        <f>D178*$B$139*$H$138</f>
        <v>5.8799999999999993E-10</v>
      </c>
      <c r="I178" s="117">
        <f>E178*$B$142</f>
        <v>6.8602450000000006E-10</v>
      </c>
      <c r="J178" s="704">
        <f t="shared" si="90"/>
        <v>3.650980392156863E-5</v>
      </c>
      <c r="K178" s="697">
        <f t="shared" si="91"/>
        <v>1.5991294117647059E-4</v>
      </c>
      <c r="L178" s="117">
        <f t="shared" ref="L178:L191" si="93">H178*8760/2000*H$138</f>
        <v>2.5754399999999999E-9</v>
      </c>
      <c r="M178" s="117">
        <f t="shared" ref="M178:M190" si="94">I178*8760/2000*H$138</f>
        <v>3.0047873100000006E-9</v>
      </c>
      <c r="N178" s="698">
        <f t="shared" si="92"/>
        <v>1.5991294117647059E-4</v>
      </c>
      <c r="O178" s="709">
        <f t="shared" si="86"/>
        <v>3.650980392156863E-5</v>
      </c>
      <c r="P178" s="158">
        <f t="shared" si="87"/>
        <v>1.5991294117647059E-4</v>
      </c>
      <c r="Q178" s="339">
        <f t="shared" si="74"/>
        <v>1.5991294117647059E-4</v>
      </c>
      <c r="S178" s="119"/>
      <c r="X178" s="150"/>
    </row>
    <row r="179" spans="1:24" s="124" customFormat="1" x14ac:dyDescent="0.2">
      <c r="A179" s="961"/>
      <c r="B179" s="687" t="s">
        <v>143</v>
      </c>
      <c r="C179" s="699">
        <v>2.5999999999999998E-4</v>
      </c>
      <c r="D179" s="117">
        <f>(0.000003)*$H$139/1000</f>
        <v>4.2001499999999997E-10</v>
      </c>
      <c r="E179" s="117">
        <f>(0.000003)*$H$70/1000</f>
        <v>4.2001499999999997E-10</v>
      </c>
      <c r="F179" s="698">
        <f t="shared" si="88"/>
        <v>2.3323529411764705E-5</v>
      </c>
      <c r="G179" s="692">
        <f t="shared" si="89"/>
        <v>2.4980392156862743E-5</v>
      </c>
      <c r="H179" s="117">
        <f>D179*$B$139*$H$138</f>
        <v>2.9399999999999997E-10</v>
      </c>
      <c r="I179" s="117">
        <f>E179*$B$142</f>
        <v>3.4301225000000003E-10</v>
      </c>
      <c r="J179" s="704">
        <f t="shared" si="90"/>
        <v>2.4980392156862747E-5</v>
      </c>
      <c r="K179" s="697">
        <f t="shared" si="91"/>
        <v>1.0941411764705881E-4</v>
      </c>
      <c r="L179" s="117">
        <f t="shared" si="93"/>
        <v>1.28772E-9</v>
      </c>
      <c r="M179" s="117">
        <f t="shared" si="94"/>
        <v>1.5023936550000003E-9</v>
      </c>
      <c r="N179" s="698">
        <f t="shared" si="92"/>
        <v>1.0941411764705882E-4</v>
      </c>
      <c r="O179" s="709">
        <f t="shared" si="86"/>
        <v>2.4980392156862747E-5</v>
      </c>
      <c r="P179" s="162">
        <f t="shared" si="87"/>
        <v>1.0941411764705882E-4</v>
      </c>
      <c r="Q179" s="339">
        <f t="shared" si="74"/>
        <v>1.0941411764705882E-4</v>
      </c>
      <c r="R179" s="151"/>
      <c r="S179" s="151"/>
      <c r="T179" s="152"/>
      <c r="U179" s="119"/>
      <c r="V179" s="119"/>
      <c r="W179" s="119"/>
      <c r="X179" s="152"/>
    </row>
    <row r="180" spans="1:24" s="124" customFormat="1" x14ac:dyDescent="0.2">
      <c r="A180" s="961"/>
      <c r="B180" s="687" t="s">
        <v>144</v>
      </c>
      <c r="C180" s="697">
        <v>2.0999999999999999E-3</v>
      </c>
      <c r="D180" s="117">
        <f>(0.000003)*$H$139/1000</f>
        <v>4.2001499999999997E-10</v>
      </c>
      <c r="E180" s="117">
        <f>(0.000003)*$H$70/1000</f>
        <v>4.2001499999999997E-10</v>
      </c>
      <c r="F180" s="698">
        <f t="shared" si="88"/>
        <v>1.8838235294117646E-4</v>
      </c>
      <c r="G180" s="692">
        <f t="shared" si="89"/>
        <v>2.0176470588235295E-4</v>
      </c>
      <c r="H180" s="117">
        <f>D180*$B$139*$H$138</f>
        <v>2.9399999999999997E-10</v>
      </c>
      <c r="I180" s="117">
        <f>E180*$B$142</f>
        <v>3.4301225000000003E-10</v>
      </c>
      <c r="J180" s="704">
        <f t="shared" si="90"/>
        <v>2.0176470588235295E-4</v>
      </c>
      <c r="K180" s="697">
        <f t="shared" si="91"/>
        <v>8.8372941176470586E-4</v>
      </c>
      <c r="L180" s="117">
        <f t="shared" si="93"/>
        <v>1.28772E-9</v>
      </c>
      <c r="M180" s="117">
        <f t="shared" si="94"/>
        <v>1.5023936550000003E-9</v>
      </c>
      <c r="N180" s="698">
        <f t="shared" si="92"/>
        <v>8.8372941176470586E-4</v>
      </c>
      <c r="O180" s="709">
        <f t="shared" si="86"/>
        <v>2.0176470588235295E-4</v>
      </c>
      <c r="P180" s="158">
        <f t="shared" si="87"/>
        <v>8.8372941176470586E-4</v>
      </c>
      <c r="Q180" s="339">
        <f t="shared" si="74"/>
        <v>8.8372941176470586E-4</v>
      </c>
      <c r="V180" s="119"/>
      <c r="W180" s="119"/>
      <c r="X180" s="155"/>
    </row>
    <row r="181" spans="1:24" s="124" customFormat="1" x14ac:dyDescent="0.2">
      <c r="A181" s="961"/>
      <c r="B181" s="687" t="s">
        <v>145</v>
      </c>
      <c r="C181" s="697">
        <v>2.4000000000000001E-5</v>
      </c>
      <c r="D181" s="117">
        <f>(0.000015)*$H$139/1000</f>
        <v>2.1000750000000001E-9</v>
      </c>
      <c r="E181" s="117">
        <f>(0.000015)*$H$70/1000</f>
        <v>2.1000750000000001E-9</v>
      </c>
      <c r="F181" s="698">
        <f t="shared" si="88"/>
        <v>2.1529411764705878E-6</v>
      </c>
      <c r="G181" s="692">
        <f t="shared" si="89"/>
        <v>2.3058823529411766E-6</v>
      </c>
      <c r="H181" s="117">
        <f>D181*$B$139*$H$138</f>
        <v>1.4700000000000001E-9</v>
      </c>
      <c r="I181" s="117">
        <f>E181*$B$142</f>
        <v>1.7150612500000003E-9</v>
      </c>
      <c r="J181" s="704">
        <f t="shared" si="90"/>
        <v>2.3058823529411762E-6</v>
      </c>
      <c r="K181" s="697">
        <f t="shared" si="91"/>
        <v>1.0099764705882353E-5</v>
      </c>
      <c r="L181" s="117">
        <f t="shared" si="93"/>
        <v>6.4386000000000005E-9</v>
      </c>
      <c r="M181" s="117">
        <f t="shared" si="94"/>
        <v>7.5119682750000008E-9</v>
      </c>
      <c r="N181" s="698">
        <f t="shared" si="92"/>
        <v>1.0099764705882351E-5</v>
      </c>
      <c r="O181" s="709">
        <f t="shared" si="86"/>
        <v>2.3058823529411766E-6</v>
      </c>
      <c r="P181" s="158">
        <f>O181*8760/2000</f>
        <v>1.0099764705882353E-5</v>
      </c>
      <c r="Q181" s="339">
        <f t="shared" ref="Q181:Q197" si="95">MAX(K181:N181)</f>
        <v>1.0099764705882353E-5</v>
      </c>
      <c r="X181" s="155"/>
    </row>
    <row r="182" spans="1:24" s="124" customFormat="1" x14ac:dyDescent="0.2">
      <c r="A182" s="961"/>
      <c r="B182" s="689" t="s">
        <v>146</v>
      </c>
      <c r="C182" s="697"/>
      <c r="D182" s="117"/>
      <c r="E182" s="117"/>
      <c r="F182" s="700"/>
      <c r="G182" s="167">
        <f>SUM(G145:G181)</f>
        <v>0.18150724117647055</v>
      </c>
      <c r="H182" s="107">
        <f>SUM(H145:H181)</f>
        <v>2.8709235690293929E-2</v>
      </c>
      <c r="I182" s="107">
        <f>SUM(I145:I181)</f>
        <v>8.5053045234966696E-3</v>
      </c>
      <c r="J182" s="705">
        <f>SUM(J145:J181)</f>
        <v>0.18150724117647055</v>
      </c>
      <c r="K182" s="660">
        <f t="shared" si="91"/>
        <v>0.79500171635294103</v>
      </c>
      <c r="L182" s="107">
        <f t="shared" si="93"/>
        <v>0.12574645232348741</v>
      </c>
      <c r="M182" s="107">
        <f t="shared" si="94"/>
        <v>3.7253233812915412E-2</v>
      </c>
      <c r="N182" s="657">
        <f t="shared" si="92"/>
        <v>0.79500171635294103</v>
      </c>
      <c r="O182" s="710">
        <f t="shared" ref="O182:O197" si="96">MAX(G182:J182)</f>
        <v>0.18150724117647055</v>
      </c>
      <c r="P182" s="157">
        <f>O182*8760/2000</f>
        <v>0.79500171635294103</v>
      </c>
      <c r="Q182" s="341">
        <f t="shared" si="95"/>
        <v>0.79500171635294103</v>
      </c>
      <c r="S182" s="150"/>
      <c r="X182" s="145"/>
    </row>
    <row r="183" spans="1:24" s="124" customFormat="1" x14ac:dyDescent="0.2">
      <c r="A183" s="961"/>
      <c r="B183" s="689" t="s">
        <v>147</v>
      </c>
      <c r="C183" s="697">
        <v>5.0000000000000001E-4</v>
      </c>
      <c r="D183" s="117">
        <f>(0.000009)*$H$139/1000</f>
        <v>1.2600450000000001E-9</v>
      </c>
      <c r="E183" s="117">
        <f>(0.000009)*$H$139/1000</f>
        <v>1.2600450000000001E-9</v>
      </c>
      <c r="F183" s="698">
        <f>C183/$H$140*$H$143*1000</f>
        <v>4.4852941176470591E-5</v>
      </c>
      <c r="G183" s="692">
        <f t="shared" ref="G183:G191" si="97">C183*$B$140</f>
        <v>4.8039215686274517E-5</v>
      </c>
      <c r="H183" s="117">
        <f t="shared" ref="H183:H191" si="98">D183*$B$139*$H$138</f>
        <v>8.8200000000000006E-10</v>
      </c>
      <c r="I183" s="117">
        <f t="shared" ref="I183:I190" si="99">E183*$B$142</f>
        <v>1.0290367500000002E-9</v>
      </c>
      <c r="J183" s="704">
        <f t="shared" ref="J183:J195" si="100">F183*$B$143</f>
        <v>4.8039215686274517E-5</v>
      </c>
      <c r="K183" s="697">
        <f t="shared" si="91"/>
        <v>2.1041176470588239E-4</v>
      </c>
      <c r="L183" s="117">
        <f t="shared" si="93"/>
        <v>3.8631600000000001E-9</v>
      </c>
      <c r="M183" s="117">
        <f t="shared" si="94"/>
        <v>4.5071809650000006E-9</v>
      </c>
      <c r="N183" s="698">
        <f t="shared" si="92"/>
        <v>2.1041176470588239E-4</v>
      </c>
      <c r="O183" s="709">
        <f t="shared" si="96"/>
        <v>4.8039215686274517E-5</v>
      </c>
      <c r="P183" s="158">
        <f>O183*8760/2000</f>
        <v>2.1041176470588239E-4</v>
      </c>
      <c r="Q183" s="342">
        <f t="shared" si="95"/>
        <v>2.1041176470588239E-4</v>
      </c>
      <c r="R183" s="734">
        <f>SUM(Q183,Q115,N50)</f>
        <v>2.5889235294117649E-4</v>
      </c>
      <c r="V183" s="165" t="s">
        <v>310</v>
      </c>
      <c r="W183" s="150">
        <v>30</v>
      </c>
      <c r="X183" s="145"/>
    </row>
    <row r="184" spans="1:24" s="124" customFormat="1" x14ac:dyDescent="0.2">
      <c r="A184" s="961"/>
      <c r="B184" s="689" t="s">
        <v>148</v>
      </c>
      <c r="C184" s="697">
        <v>7.6</v>
      </c>
      <c r="D184" s="117">
        <f>4.2+1.3</f>
        <v>5.5</v>
      </c>
      <c r="E184" s="117">
        <f>'RAFVO Emission Factors'!F18</f>
        <v>1.9961013319672127</v>
      </c>
      <c r="F184" s="701">
        <v>0.7</v>
      </c>
      <c r="G184" s="167">
        <f t="shared" si="97"/>
        <v>0.73019607843137257</v>
      </c>
      <c r="H184" s="107">
        <f t="shared" si="98"/>
        <v>3.8498625049105391</v>
      </c>
      <c r="I184" s="107">
        <f t="shared" si="99"/>
        <v>1.6301494211065573</v>
      </c>
      <c r="J184" s="706">
        <f t="shared" si="100"/>
        <v>0.74972677595628412</v>
      </c>
      <c r="K184" s="660">
        <f t="shared" si="91"/>
        <v>3.1982588235294118</v>
      </c>
      <c r="L184" s="107">
        <f t="shared" si="93"/>
        <v>16.86239777150816</v>
      </c>
      <c r="M184" s="107">
        <f t="shared" si="94"/>
        <v>7.1400544644467212</v>
      </c>
      <c r="N184" s="657">
        <f t="shared" si="92"/>
        <v>3.2838032786885245</v>
      </c>
      <c r="O184" s="710">
        <f t="shared" si="96"/>
        <v>3.8498625049105391</v>
      </c>
      <c r="P184" s="157">
        <f>O184*8760/2000</f>
        <v>16.86239777150816</v>
      </c>
      <c r="Q184" s="341">
        <f t="shared" si="95"/>
        <v>16.86239777150816</v>
      </c>
      <c r="T184" s="150"/>
      <c r="V184" s="165" t="s">
        <v>311</v>
      </c>
      <c r="W184" s="150">
        <v>80</v>
      </c>
      <c r="X184" s="145"/>
    </row>
    <row r="185" spans="1:24" s="124" customFormat="1" ht="14.25" x14ac:dyDescent="0.25">
      <c r="A185" s="961"/>
      <c r="B185" s="689" t="s">
        <v>8</v>
      </c>
      <c r="C185" s="697">
        <v>7.6</v>
      </c>
      <c r="D185" s="117">
        <f>2.1+1.3</f>
        <v>3.4000000000000004</v>
      </c>
      <c r="E185" s="117">
        <f>'RAFVO Emission Factors'!F19</f>
        <v>1.765457004811295</v>
      </c>
      <c r="F185" s="698">
        <v>0.7</v>
      </c>
      <c r="G185" s="693">
        <f t="shared" si="97"/>
        <v>0.73019607843137257</v>
      </c>
      <c r="H185" s="107">
        <f t="shared" si="98"/>
        <v>2.379915003035606</v>
      </c>
      <c r="I185" s="107">
        <f t="shared" si="99"/>
        <v>1.4417898872625576</v>
      </c>
      <c r="J185" s="706">
        <f t="shared" si="100"/>
        <v>0.74972677595628412</v>
      </c>
      <c r="K185" s="660">
        <f t="shared" si="91"/>
        <v>3.1982588235294118</v>
      </c>
      <c r="L185" s="107">
        <f t="shared" si="93"/>
        <v>10.424027713295954</v>
      </c>
      <c r="M185" s="107">
        <f t="shared" si="94"/>
        <v>6.315039706210003</v>
      </c>
      <c r="N185" s="657">
        <f t="shared" si="92"/>
        <v>3.2838032786885245</v>
      </c>
      <c r="O185" s="710">
        <f t="shared" si="96"/>
        <v>2.379915003035606</v>
      </c>
      <c r="P185" s="157">
        <f t="shared" ref="P185:P187" si="101">O185*8760/2000</f>
        <v>10.424027713295954</v>
      </c>
      <c r="Q185" s="341">
        <f t="shared" si="95"/>
        <v>10.424027713295954</v>
      </c>
      <c r="T185" s="150"/>
      <c r="V185" s="165"/>
      <c r="W185" s="150">
        <v>20.9</v>
      </c>
      <c r="X185" s="145"/>
    </row>
    <row r="186" spans="1:24" s="124" customFormat="1" ht="14.25" x14ac:dyDescent="0.25">
      <c r="A186" s="961"/>
      <c r="B186" s="689" t="s">
        <v>7</v>
      </c>
      <c r="C186" s="697">
        <v>7.6</v>
      </c>
      <c r="D186" s="117">
        <f>0.525+1.3</f>
        <v>1.8250000000000002</v>
      </c>
      <c r="E186" s="117">
        <f>'RAFVO Emission Factors'!F20</f>
        <v>1.2726272459311279</v>
      </c>
      <c r="F186" s="698">
        <v>0.7</v>
      </c>
      <c r="G186" s="693">
        <f t="shared" si="97"/>
        <v>0.73019607843137257</v>
      </c>
      <c r="H186" s="107">
        <f t="shared" si="98"/>
        <v>1.2774543766294062</v>
      </c>
      <c r="I186" s="107">
        <f t="shared" si="99"/>
        <v>1.0393122508437544</v>
      </c>
      <c r="J186" s="706">
        <f t="shared" si="100"/>
        <v>0.74972677595628412</v>
      </c>
      <c r="K186" s="660">
        <f t="shared" si="91"/>
        <v>3.1982588235294118</v>
      </c>
      <c r="L186" s="107">
        <f t="shared" si="93"/>
        <v>5.5952501696367989</v>
      </c>
      <c r="M186" s="107">
        <f t="shared" si="94"/>
        <v>4.5521876586956438</v>
      </c>
      <c r="N186" s="657">
        <f t="shared" si="92"/>
        <v>3.2838032786885245</v>
      </c>
      <c r="O186" s="710">
        <f t="shared" si="96"/>
        <v>1.2774543766294062</v>
      </c>
      <c r="P186" s="157">
        <f t="shared" si="101"/>
        <v>5.5952501696367989</v>
      </c>
      <c r="Q186" s="341">
        <f t="shared" si="95"/>
        <v>5.5952501696367989</v>
      </c>
      <c r="T186" s="150"/>
      <c r="U186" s="424"/>
      <c r="W186" s="150">
        <v>3</v>
      </c>
      <c r="X186" s="145"/>
    </row>
    <row r="187" spans="1:24" s="124" customFormat="1" ht="14.25" x14ac:dyDescent="0.25">
      <c r="A187" s="961"/>
      <c r="B187" s="689" t="s">
        <v>220</v>
      </c>
      <c r="C187" s="697">
        <v>0.6</v>
      </c>
      <c r="D187" s="117">
        <f>142*L139</f>
        <v>7.1000000000000005</v>
      </c>
      <c r="E187" s="117">
        <f>150*L142</f>
        <v>15</v>
      </c>
      <c r="F187" s="701">
        <f>0.1*L143</f>
        <v>1.5</v>
      </c>
      <c r="G187" s="167">
        <f t="shared" si="97"/>
        <v>5.7647058823529412E-2</v>
      </c>
      <c r="H187" s="107">
        <f t="shared" si="98"/>
        <v>4.9698225063390602</v>
      </c>
      <c r="I187" s="107">
        <f t="shared" si="99"/>
        <v>12.250000000000002</v>
      </c>
      <c r="J187" s="706">
        <f t="shared" si="100"/>
        <v>1.6065573770491803</v>
      </c>
      <c r="K187" s="714">
        <f t="shared" si="91"/>
        <v>0.25249411764705881</v>
      </c>
      <c r="L187" s="335">
        <f t="shared" si="93"/>
        <v>21.767822577765084</v>
      </c>
      <c r="M187" s="335">
        <f t="shared" si="94"/>
        <v>53.655000000000008</v>
      </c>
      <c r="N187" s="657">
        <f t="shared" si="92"/>
        <v>7.0367213114754099</v>
      </c>
      <c r="O187" s="710">
        <f t="shared" si="96"/>
        <v>12.250000000000002</v>
      </c>
      <c r="P187" s="161">
        <f t="shared" si="101"/>
        <v>53.655000000000008</v>
      </c>
      <c r="Q187" s="341">
        <f t="shared" si="95"/>
        <v>53.655000000000008</v>
      </c>
      <c r="V187" s="165" t="s">
        <v>312</v>
      </c>
      <c r="W187" s="150">
        <v>8710</v>
      </c>
      <c r="X187" s="145"/>
    </row>
    <row r="188" spans="1:24" s="124" customFormat="1" x14ac:dyDescent="0.2">
      <c r="A188" s="961"/>
      <c r="B188" s="689" t="s">
        <v>152</v>
      </c>
      <c r="C188" s="697">
        <f>30*0.0000001194*8710*(20.9/(20.9-3))*H140</f>
        <v>37.156702344134075</v>
      </c>
      <c r="D188" s="117">
        <f>80*0.0000001194*9190*(20.9/(20.9-3))*H139*1000</f>
        <v>14.349825708992176</v>
      </c>
      <c r="E188" s="117">
        <f>80*0.0000001194*9190*(20.9/(20.9-3))*H142*1000</f>
        <v>12.299411343016757</v>
      </c>
      <c r="F188" s="698">
        <f>30*0.0000001194*8710*(20.9/(20.9-3))*H143*1000</f>
        <v>3.3331747691061446</v>
      </c>
      <c r="G188" s="167">
        <f t="shared" si="97"/>
        <v>3.5699576762011174</v>
      </c>
      <c r="H188" s="107">
        <f t="shared" si="98"/>
        <v>10.044519263463686</v>
      </c>
      <c r="I188" s="107">
        <f t="shared" si="99"/>
        <v>10.044519263463686</v>
      </c>
      <c r="J188" s="706">
        <f t="shared" si="100"/>
        <v>3.5699576762011169</v>
      </c>
      <c r="K188" s="714">
        <f t="shared" si="91"/>
        <v>15.636414621760894</v>
      </c>
      <c r="L188" s="335">
        <f t="shared" si="93"/>
        <v>43.99499437397094</v>
      </c>
      <c r="M188" s="335">
        <f t="shared" si="94"/>
        <v>43.99499437397094</v>
      </c>
      <c r="N188" s="657">
        <f t="shared" si="92"/>
        <v>15.636414621760892</v>
      </c>
      <c r="O188" s="710">
        <f t="shared" si="96"/>
        <v>10.044519263463686</v>
      </c>
      <c r="P188" s="470">
        <f>'RAFVO Emission Factors'!F22*B142*4.38</f>
        <v>76.650584691854505</v>
      </c>
      <c r="Q188" s="341">
        <f t="shared" si="95"/>
        <v>43.99499437397094</v>
      </c>
      <c r="V188" s="165" t="s">
        <v>313</v>
      </c>
      <c r="W188" s="150">
        <v>9190</v>
      </c>
      <c r="X188" s="146"/>
    </row>
    <row r="189" spans="1:24" s="124" customFormat="1" x14ac:dyDescent="0.2">
      <c r="A189" s="961"/>
      <c r="B189" s="689" t="s">
        <v>6</v>
      </c>
      <c r="C189" s="697">
        <v>5.5</v>
      </c>
      <c r="D189" s="117">
        <v>0.2</v>
      </c>
      <c r="E189" s="117">
        <f>'RAFVO Emission Factors'!F23</f>
        <v>2.0302536937958401E-2</v>
      </c>
      <c r="F189" s="698">
        <f>1-0.2</f>
        <v>0.8</v>
      </c>
      <c r="G189" s="167">
        <f t="shared" si="97"/>
        <v>0.52843137254901962</v>
      </c>
      <c r="H189" s="107">
        <f t="shared" si="98"/>
        <v>0.13999500017856506</v>
      </c>
      <c r="I189" s="107">
        <f t="shared" si="99"/>
        <v>1.6580405165999363E-2</v>
      </c>
      <c r="J189" s="706">
        <f t="shared" si="100"/>
        <v>0.85683060109289633</v>
      </c>
      <c r="K189" s="714">
        <f t="shared" si="91"/>
        <v>2.3145294117647057</v>
      </c>
      <c r="L189" s="335">
        <f t="shared" si="93"/>
        <v>0.61317810078211499</v>
      </c>
      <c r="M189" s="335">
        <f t="shared" si="94"/>
        <v>7.2622174627077221E-2</v>
      </c>
      <c r="N189" s="657">
        <f t="shared" si="92"/>
        <v>3.7529180327868858</v>
      </c>
      <c r="O189" s="710">
        <f t="shared" si="96"/>
        <v>0.85683060109289633</v>
      </c>
      <c r="P189" s="161">
        <f>O189*8760/2000</f>
        <v>3.7529180327868858</v>
      </c>
      <c r="Q189" s="341">
        <f t="shared" si="95"/>
        <v>3.7529180327868858</v>
      </c>
      <c r="V189" s="165" t="s">
        <v>581</v>
      </c>
      <c r="W189" s="432">
        <v>1.194E-7</v>
      </c>
      <c r="X189" s="145"/>
    </row>
    <row r="190" spans="1:24" s="124" customFormat="1" x14ac:dyDescent="0.2">
      <c r="A190" s="961"/>
      <c r="B190" s="689" t="s">
        <v>189</v>
      </c>
      <c r="C190" s="697">
        <v>84</v>
      </c>
      <c r="D190" s="120">
        <v>5</v>
      </c>
      <c r="E190" s="120">
        <f>'RAFVO Emission Factors'!F21</f>
        <v>5.8471306381320201</v>
      </c>
      <c r="F190" s="698">
        <v>7.5</v>
      </c>
      <c r="G190" s="167">
        <f t="shared" si="97"/>
        <v>8.0705882352941174</v>
      </c>
      <c r="H190" s="107">
        <f t="shared" si="98"/>
        <v>3.4998750044641262</v>
      </c>
      <c r="I190" s="107">
        <f t="shared" si="99"/>
        <v>4.7751566878078169</v>
      </c>
      <c r="J190" s="706">
        <f t="shared" si="100"/>
        <v>8.032786885245903</v>
      </c>
      <c r="K190" s="714">
        <f t="shared" si="91"/>
        <v>35.349176470588233</v>
      </c>
      <c r="L190" s="335">
        <f t="shared" si="93"/>
        <v>15.329452519552873</v>
      </c>
      <c r="M190" s="335">
        <f t="shared" si="94"/>
        <v>20.915186292598239</v>
      </c>
      <c r="N190" s="657">
        <f t="shared" si="92"/>
        <v>35.183606557377054</v>
      </c>
      <c r="O190" s="710">
        <f t="shared" si="96"/>
        <v>8.0705882352941174</v>
      </c>
      <c r="P190" s="161">
        <f t="shared" ref="P190" si="102">O190*8760/2000</f>
        <v>35.349176470588233</v>
      </c>
      <c r="Q190" s="341">
        <f t="shared" si="95"/>
        <v>35.349176470588233</v>
      </c>
      <c r="W190" s="150"/>
      <c r="X190" s="156"/>
    </row>
    <row r="191" spans="1:24" s="124" customFormat="1" ht="14.25" x14ac:dyDescent="0.25">
      <c r="A191" s="961"/>
      <c r="B191" s="689" t="s">
        <v>237</v>
      </c>
      <c r="C191" s="697">
        <v>120000</v>
      </c>
      <c r="D191" s="117">
        <v>22300</v>
      </c>
      <c r="E191" s="746"/>
      <c r="F191" s="698">
        <v>12500</v>
      </c>
      <c r="G191" s="695">
        <f t="shared" si="97"/>
        <v>11529.411764705883</v>
      </c>
      <c r="H191" s="321">
        <f t="shared" si="98"/>
        <v>15609.442519910004</v>
      </c>
      <c r="I191" s="321"/>
      <c r="J191" s="707">
        <f t="shared" si="100"/>
        <v>13387.978142076503</v>
      </c>
      <c r="K191" s="715">
        <f t="shared" si="91"/>
        <v>50498.823529411769</v>
      </c>
      <c r="L191" s="321">
        <f t="shared" si="93"/>
        <v>68369.358237205815</v>
      </c>
      <c r="M191" s="321"/>
      <c r="N191" s="716">
        <f t="shared" si="92"/>
        <v>58639.344262295082</v>
      </c>
      <c r="O191" s="757">
        <f>MAX(G191:J193)</f>
        <v>17622.139500000001</v>
      </c>
      <c r="P191" s="758">
        <f>O191*8760/2000</f>
        <v>77184.971010000008</v>
      </c>
      <c r="Q191" s="759">
        <f>MAX(K191:N193)</f>
        <v>77184.971010000008</v>
      </c>
      <c r="V191" s="351" t="s">
        <v>314</v>
      </c>
      <c r="W191" s="150">
        <f>W183*W185*W187*W189/(W185-W186)</f>
        <v>3.6428139553072628E-2</v>
      </c>
      <c r="X191" s="145"/>
    </row>
    <row r="192" spans="1:24" s="760" customFormat="1" ht="14.25" x14ac:dyDescent="0.25">
      <c r="A192" s="961"/>
      <c r="B192" s="749" t="s">
        <v>594</v>
      </c>
      <c r="C192" s="750"/>
      <c r="D192" s="746"/>
      <c r="E192" s="746">
        <f>H141*71.06*2.205*1000</f>
        <v>19585.912500000002</v>
      </c>
      <c r="F192" s="751"/>
      <c r="G192" s="752"/>
      <c r="H192" s="753"/>
      <c r="I192" s="753">
        <f>E192*$B$141</f>
        <v>15355.355400000002</v>
      </c>
      <c r="J192" s="754"/>
      <c r="K192" s="755"/>
      <c r="L192" s="753"/>
      <c r="M192" s="753">
        <f>I192*8760/2000*H$138</f>
        <v>67256.456652000008</v>
      </c>
      <c r="N192" s="756"/>
      <c r="O192" s="757"/>
      <c r="P192" s="758"/>
      <c r="Q192" s="759"/>
      <c r="V192" s="761"/>
      <c r="W192" s="762"/>
      <c r="X192" s="763"/>
    </row>
    <row r="193" spans="1:24" s="760" customFormat="1" ht="14.25" x14ac:dyDescent="0.25">
      <c r="A193" s="961"/>
      <c r="B193" s="749" t="s">
        <v>595</v>
      </c>
      <c r="C193" s="750"/>
      <c r="D193" s="746"/>
      <c r="E193" s="746">
        <f>H142*81.55*2.205*1000</f>
        <v>21578.129999999997</v>
      </c>
      <c r="F193" s="751"/>
      <c r="G193" s="752"/>
      <c r="H193" s="753"/>
      <c r="I193" s="753">
        <f>E193*$B$142</f>
        <v>17622.139500000001</v>
      </c>
      <c r="J193" s="754"/>
      <c r="K193" s="755"/>
      <c r="L193" s="753"/>
      <c r="M193" s="753">
        <f t="shared" ref="M193:M197" si="103">I193*8760/2000*H$138</f>
        <v>77184.971010000008</v>
      </c>
      <c r="N193" s="756"/>
      <c r="O193" s="757"/>
      <c r="P193" s="758"/>
      <c r="Q193" s="759"/>
      <c r="V193" s="761"/>
      <c r="W193" s="762"/>
      <c r="X193" s="763"/>
    </row>
    <row r="194" spans="1:24" s="124" customFormat="1" ht="14.25" x14ac:dyDescent="0.25">
      <c r="A194" s="961"/>
      <c r="B194" s="689" t="s">
        <v>238</v>
      </c>
      <c r="C194" s="697">
        <v>2.2999999999999998</v>
      </c>
      <c r="D194" s="117">
        <v>5.1999999999999998E-2</v>
      </c>
      <c r="E194" s="117">
        <v>5.1999999999999998E-2</v>
      </c>
      <c r="F194" s="698">
        <v>0.2</v>
      </c>
      <c r="G194" s="167">
        <f>C194*$B$140</f>
        <v>0.22098039215686274</v>
      </c>
      <c r="H194" s="107">
        <f>D194*$B$139*$H$138</f>
        <v>3.639870004642691E-2</v>
      </c>
      <c r="I194" s="107">
        <f>E194*$B$142</f>
        <v>4.2466666666666666E-2</v>
      </c>
      <c r="J194" s="706">
        <f t="shared" si="100"/>
        <v>0.21420765027322408</v>
      </c>
      <c r="K194" s="660">
        <f t="shared" si="91"/>
        <v>0.96789411764705879</v>
      </c>
      <c r="L194" s="107">
        <f>H194*8760/2000*H$138</f>
        <v>0.15942630620334985</v>
      </c>
      <c r="M194" s="107">
        <f t="shared" si="103"/>
        <v>0.186004</v>
      </c>
      <c r="N194" s="657">
        <f>J194*8760/2000*H$138</f>
        <v>0.93822950819672146</v>
      </c>
      <c r="O194" s="710">
        <f t="shared" si="96"/>
        <v>0.22098039215686274</v>
      </c>
      <c r="P194" s="157">
        <f t="shared" ref="P194:P195" si="104">O194*8760/2000</f>
        <v>0.96789411764705879</v>
      </c>
      <c r="Q194" s="341">
        <f t="shared" si="95"/>
        <v>0.96789411764705879</v>
      </c>
      <c r="V194" s="351" t="s">
        <v>315</v>
      </c>
      <c r="W194" s="150">
        <f>W184*W185*W188*W189/(W185-W186)</f>
        <v>0.10249509452513966</v>
      </c>
      <c r="X194" s="145"/>
    </row>
    <row r="195" spans="1:24" s="124" customFormat="1" ht="14.25" x14ac:dyDescent="0.25">
      <c r="A195" s="961"/>
      <c r="B195" s="689" t="s">
        <v>239</v>
      </c>
      <c r="C195" s="697">
        <v>2.2000000000000002</v>
      </c>
      <c r="D195" s="117">
        <v>0.26</v>
      </c>
      <c r="E195" s="117">
        <f>+AVERAGE(0.53,0.26)</f>
        <v>0.39500000000000002</v>
      </c>
      <c r="F195" s="698">
        <v>0.9</v>
      </c>
      <c r="G195" s="167">
        <f>C195*$B$140</f>
        <v>0.21137254901960786</v>
      </c>
      <c r="H195" s="107">
        <f>D195*$B$139*$H$138</f>
        <v>0.18199350023213456</v>
      </c>
      <c r="I195" s="107">
        <f>E195*$B$142</f>
        <v>0.32258333333333339</v>
      </c>
      <c r="J195" s="706">
        <f t="shared" si="100"/>
        <v>0.96393442622950831</v>
      </c>
      <c r="K195" s="660">
        <f t="shared" ref="K195:K197" si="105">G195*8760/2000</f>
        <v>0.92581176470588245</v>
      </c>
      <c r="L195" s="107">
        <f>H195*8760/2000*H$138</f>
        <v>0.79713153101674938</v>
      </c>
      <c r="M195" s="107">
        <f t="shared" si="103"/>
        <v>1.4129150000000001</v>
      </c>
      <c r="N195" s="657">
        <f>J195*8760/2000*H$138</f>
        <v>4.2220327868852463</v>
      </c>
      <c r="O195" s="710">
        <f t="shared" si="96"/>
        <v>0.96393442622950831</v>
      </c>
      <c r="P195" s="157">
        <f t="shared" si="104"/>
        <v>4.2220327868852463</v>
      </c>
      <c r="Q195" s="341">
        <f t="shared" si="95"/>
        <v>4.2220327868852463</v>
      </c>
      <c r="R195" s="103"/>
      <c r="S195" s="150"/>
      <c r="X195" s="145"/>
    </row>
    <row r="196" spans="1:24" s="124" customFormat="1" x14ac:dyDescent="0.2">
      <c r="A196" s="961"/>
      <c r="B196" s="689" t="s">
        <v>158</v>
      </c>
      <c r="C196" s="722"/>
      <c r="D196" s="123"/>
      <c r="E196" s="123"/>
      <c r="F196" s="698"/>
      <c r="G196" s="721">
        <f>SUM(G191:G195)</f>
        <v>11529.844117647059</v>
      </c>
      <c r="H196" s="322">
        <f>SUM(H191:H195)</f>
        <v>15609.660912110281</v>
      </c>
      <c r="I196" s="753">
        <f>SUM(MAX(I192:I193),I194:I195)</f>
        <v>17622.504550000001</v>
      </c>
      <c r="J196" s="707">
        <f>SUM(J191:J195)</f>
        <v>13389.156284153005</v>
      </c>
      <c r="K196" s="715">
        <f t="shared" si="105"/>
        <v>50500.71723529412</v>
      </c>
      <c r="L196" s="321">
        <f>H196*8760/2000*H$138</f>
        <v>68370.314795043043</v>
      </c>
      <c r="M196" s="753">
        <f t="shared" si="103"/>
        <v>77186.569929000005</v>
      </c>
      <c r="N196" s="716">
        <f>J196*8760/2000*H$138</f>
        <v>58644.504524590164</v>
      </c>
      <c r="O196" s="757">
        <f>MAX(G196:J196)</f>
        <v>17622.504550000001</v>
      </c>
      <c r="P196" s="758">
        <f>O196*8760/2000</f>
        <v>77186.569929000005</v>
      </c>
      <c r="Q196" s="759">
        <f>MAX(K196:N196)</f>
        <v>77186.569929000005</v>
      </c>
      <c r="R196" s="103"/>
      <c r="S196" s="150"/>
      <c r="X196" s="145"/>
    </row>
    <row r="197" spans="1:24" s="124" customFormat="1" ht="15" thickBot="1" x14ac:dyDescent="0.3">
      <c r="A197" s="962"/>
      <c r="B197" s="690" t="s">
        <v>320</v>
      </c>
      <c r="C197" s="723"/>
      <c r="D197" s="121"/>
      <c r="E197" s="121"/>
      <c r="F197" s="703"/>
      <c r="G197" s="696">
        <f>G191+(G194*25)+(G195*298)</f>
        <v>11597.925294117647</v>
      </c>
      <c r="H197" s="345">
        <f>H191+(H194*25)+(H195*298)</f>
        <v>15664.586550480341</v>
      </c>
      <c r="I197" s="765">
        <f>MAX(I192:I193)+(I194*25)+(I195*298)</f>
        <v>17719.331000000002</v>
      </c>
      <c r="J197" s="708">
        <f>J191+(J194*25)+(J195*298)</f>
        <v>13680.585792349728</v>
      </c>
      <c r="K197" s="717">
        <f t="shared" si="105"/>
        <v>50798.912788235291</v>
      </c>
      <c r="L197" s="345">
        <f>H197*8760/2000*H$138</f>
        <v>68610.889091103891</v>
      </c>
      <c r="M197" s="765">
        <f t="shared" si="103"/>
        <v>77610.669779999997</v>
      </c>
      <c r="N197" s="718">
        <f>J197*8760/2000*H$138</f>
        <v>59920.965770491806</v>
      </c>
      <c r="O197" s="766">
        <f t="shared" si="96"/>
        <v>17719.331000000002</v>
      </c>
      <c r="P197" s="767">
        <f>O197*8760/2000</f>
        <v>77610.669779999997</v>
      </c>
      <c r="Q197" s="768">
        <f t="shared" si="95"/>
        <v>77610.669779999997</v>
      </c>
      <c r="R197" s="103"/>
      <c r="S197" s="150"/>
      <c r="X197" s="145"/>
    </row>
    <row r="198" spans="1:24" s="124" customFormat="1" ht="30" customHeight="1" x14ac:dyDescent="0.2">
      <c r="A198" s="963" t="s">
        <v>309</v>
      </c>
      <c r="B198" s="963"/>
      <c r="C198" s="963"/>
      <c r="D198" s="963"/>
      <c r="E198" s="963"/>
      <c r="F198" s="963"/>
      <c r="G198" s="963"/>
      <c r="H198" s="963"/>
      <c r="I198" s="963"/>
      <c r="J198" s="963"/>
      <c r="K198" s="963"/>
      <c r="L198" s="963"/>
      <c r="M198" s="963"/>
      <c r="N198" s="963"/>
      <c r="O198" s="963"/>
      <c r="P198" s="963"/>
      <c r="Q198" s="963"/>
      <c r="U198" s="145"/>
    </row>
    <row r="199" spans="1:24" s="124" customFormat="1" ht="59.25" customHeight="1" x14ac:dyDescent="0.2">
      <c r="A199" s="955" t="s">
        <v>598</v>
      </c>
      <c r="B199" s="955"/>
      <c r="C199" s="955"/>
      <c r="D199" s="955"/>
      <c r="E199" s="955"/>
      <c r="F199" s="955"/>
      <c r="G199" s="955"/>
      <c r="H199" s="955"/>
      <c r="I199" s="955"/>
      <c r="J199" s="955"/>
      <c r="K199" s="955"/>
      <c r="L199" s="955"/>
      <c r="M199" s="955"/>
      <c r="N199" s="955"/>
      <c r="O199" s="955"/>
      <c r="P199" s="955"/>
      <c r="Q199" s="955"/>
      <c r="U199" s="145"/>
    </row>
    <row r="200" spans="1:24" s="124" customFormat="1" x14ac:dyDescent="0.2">
      <c r="A200" s="745" t="s">
        <v>597</v>
      </c>
      <c r="B200" s="736"/>
      <c r="C200" s="736"/>
      <c r="D200" s="736"/>
      <c r="E200" s="736"/>
      <c r="F200" s="736"/>
      <c r="G200" s="736"/>
      <c r="H200" s="736"/>
      <c r="I200" s="736"/>
      <c r="J200" s="736"/>
      <c r="K200" s="736"/>
      <c r="L200" s="736"/>
      <c r="M200" s="736"/>
      <c r="N200" s="736"/>
      <c r="O200" s="736"/>
      <c r="P200" s="736"/>
      <c r="Q200" s="736"/>
      <c r="U200" s="145"/>
    </row>
    <row r="201" spans="1:24" s="124" customFormat="1" ht="28.5" customHeight="1" x14ac:dyDescent="0.2">
      <c r="A201" s="954" t="s">
        <v>609</v>
      </c>
      <c r="B201" s="954"/>
      <c r="C201" s="954"/>
      <c r="D201" s="954"/>
      <c r="E201" s="954"/>
      <c r="F201" s="954"/>
      <c r="G201" s="954"/>
      <c r="H201" s="954"/>
      <c r="I201" s="954"/>
      <c r="J201" s="954"/>
      <c r="K201" s="954"/>
      <c r="L201" s="954"/>
      <c r="M201" s="954"/>
      <c r="N201" s="954"/>
      <c r="O201" s="954"/>
      <c r="P201" s="954"/>
      <c r="Q201" s="954"/>
      <c r="R201" s="119"/>
    </row>
    <row r="202" spans="1:24" s="124" customFormat="1" ht="15.75" customHeight="1" x14ac:dyDescent="0.2">
      <c r="A202" s="447" t="s">
        <v>373</v>
      </c>
      <c r="B202" s="435"/>
      <c r="C202" s="435"/>
      <c r="D202" s="435"/>
      <c r="E202" s="435"/>
      <c r="F202" s="435"/>
      <c r="G202" s="435"/>
      <c r="H202" s="435"/>
      <c r="I202" s="435"/>
      <c r="J202" s="435"/>
      <c r="K202" s="435"/>
      <c r="L202" s="435"/>
      <c r="M202" s="435"/>
      <c r="N202" s="435"/>
      <c r="O202" s="119"/>
      <c r="P202" s="119"/>
      <c r="Q202" s="119"/>
      <c r="R202" s="119"/>
    </row>
    <row r="203" spans="1:24" s="124" customFormat="1" ht="17.25" customHeight="1" x14ac:dyDescent="0.2">
      <c r="A203" s="954" t="s">
        <v>608</v>
      </c>
      <c r="B203" s="954"/>
      <c r="C203" s="954"/>
      <c r="D203" s="954"/>
      <c r="E203" s="954"/>
      <c r="F203" s="954"/>
      <c r="G203" s="954"/>
      <c r="H203" s="954"/>
      <c r="I203" s="954"/>
      <c r="J203" s="954"/>
      <c r="K203" s="954"/>
      <c r="L203" s="954"/>
      <c r="M203" s="954"/>
      <c r="N203" s="954"/>
      <c r="O203" s="954"/>
      <c r="P203" s="954"/>
      <c r="Q203" s="954"/>
    </row>
    <row r="204" spans="1:24" s="124" customFormat="1" ht="15.75" customHeight="1" x14ac:dyDescent="0.2">
      <c r="A204" s="447" t="s">
        <v>372</v>
      </c>
      <c r="B204" s="469"/>
      <c r="C204" s="469"/>
      <c r="D204" s="469"/>
      <c r="E204" s="469"/>
      <c r="F204" s="469"/>
      <c r="G204" s="469"/>
      <c r="H204" s="469"/>
      <c r="I204" s="469"/>
      <c r="J204" s="469"/>
      <c r="K204" s="469"/>
      <c r="L204" s="469"/>
      <c r="M204" s="469"/>
    </row>
    <row r="205" spans="1:24" s="124" customFormat="1" ht="14.25" customHeight="1" thickBot="1" x14ac:dyDescent="0.25">
      <c r="A205" s="430"/>
      <c r="B205" s="431"/>
      <c r="C205" s="430"/>
      <c r="D205" s="430"/>
      <c r="E205" s="430"/>
      <c r="F205" s="430"/>
      <c r="G205" s="430"/>
      <c r="H205" s="430"/>
      <c r="I205" s="430"/>
      <c r="J205" s="430"/>
      <c r="K205" s="430"/>
      <c r="L205" s="430"/>
      <c r="M205" s="430"/>
      <c r="N205" s="430"/>
      <c r="O205" s="103"/>
      <c r="P205" s="150"/>
      <c r="U205" s="145"/>
    </row>
    <row r="206" spans="1:24" ht="13.5" thickBot="1" x14ac:dyDescent="0.25">
      <c r="B206" s="426" t="s">
        <v>568</v>
      </c>
      <c r="C206" s="957" t="s">
        <v>318</v>
      </c>
      <c r="D206" s="958"/>
      <c r="E206" s="959"/>
      <c r="F206" s="148"/>
      <c r="G206" s="148"/>
      <c r="H206" s="148"/>
      <c r="I206" s="148"/>
    </row>
    <row r="207" spans="1:24" ht="29.25" customHeight="1" x14ac:dyDescent="0.2">
      <c r="B207" s="379"/>
      <c r="C207" s="427" t="s">
        <v>261</v>
      </c>
      <c r="D207" s="632" t="s">
        <v>563</v>
      </c>
      <c r="E207" s="628" t="s">
        <v>564</v>
      </c>
      <c r="F207" s="381"/>
      <c r="G207" s="381"/>
      <c r="H207" s="381"/>
      <c r="I207" s="382"/>
    </row>
    <row r="208" spans="1:24" ht="14.25" x14ac:dyDescent="0.25">
      <c r="B208" s="377" t="s">
        <v>237</v>
      </c>
      <c r="C208" s="629">
        <f>SUM(L58,O123,O191)</f>
        <v>21579.735673566836</v>
      </c>
      <c r="D208" s="629">
        <f>SUM(M58,P123,P191)</f>
        <v>94519.242250222756</v>
      </c>
      <c r="E208" s="633">
        <f>SUM(N58,Q123,Q191)</f>
        <v>94519.242250222756</v>
      </c>
      <c r="F208" s="331"/>
      <c r="G208" s="331"/>
      <c r="H208" s="331"/>
      <c r="I208" s="331"/>
    </row>
    <row r="209" spans="1:9" ht="14.25" x14ac:dyDescent="0.25">
      <c r="B209" s="368" t="s">
        <v>238</v>
      </c>
      <c r="C209" s="630">
        <f t="shared" ref="C209:E212" si="106">SUM(L59,O126,O194)</f>
        <v>0.27189607843137253</v>
      </c>
      <c r="D209" s="630">
        <f t="shared" si="106"/>
        <v>1.1909048235294117</v>
      </c>
      <c r="E209" s="634">
        <f t="shared" si="106"/>
        <v>1.1909048235294117</v>
      </c>
      <c r="F209" s="383"/>
      <c r="G209" s="383"/>
      <c r="H209" s="383"/>
      <c r="I209" s="383"/>
    </row>
    <row r="210" spans="1:9" ht="14.25" x14ac:dyDescent="0.25">
      <c r="B210" s="368" t="s">
        <v>239</v>
      </c>
      <c r="C210" s="630">
        <f t="shared" si="106"/>
        <v>1.186032786885246</v>
      </c>
      <c r="D210" s="630">
        <f t="shared" si="106"/>
        <v>5.1948236065573772</v>
      </c>
      <c r="E210" s="634">
        <f t="shared" si="106"/>
        <v>5.1948236065573772</v>
      </c>
      <c r="F210" s="383"/>
      <c r="G210" s="383"/>
      <c r="H210" s="383"/>
      <c r="I210" s="383"/>
    </row>
    <row r="211" spans="1:9" x14ac:dyDescent="0.2">
      <c r="B211" s="368" t="s">
        <v>158</v>
      </c>
      <c r="C211" s="629">
        <f t="shared" si="106"/>
        <v>21580.177351526036</v>
      </c>
      <c r="D211" s="629">
        <f t="shared" si="106"/>
        <v>94521.176799684035</v>
      </c>
      <c r="E211" s="633">
        <f t="shared" si="106"/>
        <v>94521.176799684035</v>
      </c>
      <c r="F211" s="331"/>
      <c r="G211" s="331"/>
      <c r="H211" s="331"/>
      <c r="I211" s="331"/>
    </row>
    <row r="212" spans="1:9" ht="15" thickBot="1" x14ac:dyDescent="0.3">
      <c r="B212" s="369" t="s">
        <v>569</v>
      </c>
      <c r="C212" s="631">
        <f t="shared" si="106"/>
        <v>21697.175609514306</v>
      </c>
      <c r="D212" s="631">
        <f t="shared" si="106"/>
        <v>95033.62916967264</v>
      </c>
      <c r="E212" s="635">
        <f>SUM(N62,Q129,Q197)</f>
        <v>95033.62916967264</v>
      </c>
      <c r="F212" s="331"/>
      <c r="G212" s="331"/>
      <c r="H212" s="331"/>
      <c r="I212" s="331"/>
    </row>
    <row r="213" spans="1:9" x14ac:dyDescent="0.2">
      <c r="A213" s="124"/>
      <c r="B213" s="323" t="s">
        <v>582</v>
      </c>
    </row>
    <row r="214" spans="1:9" ht="15.75" x14ac:dyDescent="0.3">
      <c r="B214" s="436" t="s">
        <v>583</v>
      </c>
    </row>
  </sheetData>
  <mergeCells count="20">
    <mergeCell ref="C206:E206"/>
    <mergeCell ref="A203:Q203"/>
    <mergeCell ref="A145:A197"/>
    <mergeCell ref="A134:M134"/>
    <mergeCell ref="A135:M135"/>
    <mergeCell ref="A136:M136"/>
    <mergeCell ref="A198:Q198"/>
    <mergeCell ref="A199:Q199"/>
    <mergeCell ref="A201:Q201"/>
    <mergeCell ref="A1:M1"/>
    <mergeCell ref="A12:A62"/>
    <mergeCell ref="A2:M2"/>
    <mergeCell ref="A3:M3"/>
    <mergeCell ref="A63:N63"/>
    <mergeCell ref="A67:M67"/>
    <mergeCell ref="A77:A129"/>
    <mergeCell ref="A65:M65"/>
    <mergeCell ref="A66:M66"/>
    <mergeCell ref="A132:Q132"/>
    <mergeCell ref="A130:Q130"/>
  </mergeCells>
  <printOptions horizontalCentered="1" gridLines="1" gridLinesSet="0"/>
  <pageMargins left="0.4" right="0.4" top="1" bottom="1" header="0.5" footer="0.5"/>
  <pageSetup scale="43" fitToHeight="4" orientation="portrait" horizontalDpi="1200" verticalDpi="1200" r:id="rId1"/>
  <headerFooter alignWithMargins="0"/>
  <rowBreaks count="2" manualBreakCount="2">
    <brk id="64" max="16" man="1"/>
    <brk id="133" max="1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70"/>
  <sheetViews>
    <sheetView view="pageBreakPreview" zoomScale="80" zoomScaleNormal="100" zoomScaleSheetLayoutView="80" workbookViewId="0">
      <selection activeCell="G37" sqref="G37"/>
    </sheetView>
  </sheetViews>
  <sheetFormatPr defaultRowHeight="12.75" x14ac:dyDescent="0.2"/>
  <cols>
    <col min="1" max="1" width="11.42578125" customWidth="1"/>
    <col min="2" max="2" width="29.85546875" customWidth="1"/>
    <col min="3" max="3" width="11.28515625" customWidth="1"/>
    <col min="4" max="4" width="12.7109375" bestFit="1" customWidth="1"/>
    <col min="5" max="5" width="12.42578125" customWidth="1"/>
    <col min="6" max="6" width="12.28515625" customWidth="1"/>
    <col min="7" max="7" width="12.7109375" bestFit="1" customWidth="1"/>
    <col min="8" max="8" width="13.5703125" bestFit="1" customWidth="1"/>
    <col min="9" max="9" width="10.5703125" bestFit="1" customWidth="1"/>
    <col min="10" max="10" width="11.7109375" bestFit="1" customWidth="1"/>
    <col min="11" max="11" width="11.85546875" customWidth="1"/>
    <col min="12" max="12" width="13.140625" customWidth="1"/>
    <col min="13" max="13" width="12.140625" customWidth="1"/>
    <col min="14" max="14" width="12.42578125" bestFit="1" customWidth="1"/>
    <col min="15" max="15" width="12.28515625" customWidth="1"/>
    <col min="16" max="17" width="13" customWidth="1"/>
    <col min="18" max="18" width="13.85546875" customWidth="1"/>
  </cols>
  <sheetData>
    <row r="1" spans="1:18" s="119" customFormat="1" ht="18" x14ac:dyDescent="0.25">
      <c r="A1" s="953" t="s">
        <v>11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</row>
    <row r="2" spans="1:18" s="119" customFormat="1" ht="15.75" x14ac:dyDescent="0.25">
      <c r="A2" s="964" t="s">
        <v>654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</row>
    <row r="3" spans="1:18" s="119" customFormat="1" ht="15.75" x14ac:dyDescent="0.25">
      <c r="A3" s="965" t="s">
        <v>605</v>
      </c>
      <c r="B3" s="965"/>
      <c r="C3" s="965"/>
      <c r="D3" s="965"/>
      <c r="E3" s="965"/>
      <c r="F3" s="965"/>
      <c r="G3" s="965"/>
      <c r="H3" s="965"/>
      <c r="I3" s="965"/>
      <c r="J3" s="965"/>
      <c r="K3" s="965"/>
      <c r="L3" s="965"/>
      <c r="M3" s="965"/>
    </row>
    <row r="4" spans="1:18" s="119" customFormat="1" ht="15.75" customHeight="1" x14ac:dyDescent="0.2">
      <c r="A4" s="147" t="s">
        <v>90</v>
      </c>
      <c r="B4" s="334"/>
      <c r="C4" s="334"/>
      <c r="D4" s="334"/>
      <c r="E4" s="154"/>
      <c r="F4" s="154"/>
      <c r="G4" s="154"/>
      <c r="H4" s="154"/>
      <c r="I4" s="154"/>
      <c r="J4" s="154"/>
      <c r="K4" s="154"/>
      <c r="L4" s="154"/>
      <c r="M4" s="154"/>
    </row>
    <row r="5" spans="1:18" s="124" customFormat="1" x14ac:dyDescent="0.2">
      <c r="A5" s="929" t="s">
        <v>611</v>
      </c>
      <c r="I5" s="125"/>
    </row>
    <row r="6" spans="1:18" s="124" customFormat="1" x14ac:dyDescent="0.2">
      <c r="A6" s="119" t="s">
        <v>91</v>
      </c>
      <c r="B6" s="148">
        <v>51</v>
      </c>
      <c r="C6" s="148" t="s">
        <v>251</v>
      </c>
      <c r="D6" s="122"/>
      <c r="E6" s="165" t="s">
        <v>305</v>
      </c>
      <c r="F6" s="165"/>
      <c r="G6" s="119"/>
      <c r="H6" s="425">
        <v>1</v>
      </c>
      <c r="J6" s="119"/>
      <c r="K6" s="119"/>
      <c r="L6" s="119"/>
      <c r="M6" s="119"/>
      <c r="N6" s="152"/>
      <c r="O6" s="119"/>
      <c r="P6" s="119"/>
      <c r="Q6" s="119"/>
      <c r="R6" s="119"/>
    </row>
    <row r="7" spans="1:18" s="124" customFormat="1" x14ac:dyDescent="0.2">
      <c r="A7" s="119" t="s">
        <v>96</v>
      </c>
      <c r="B7" s="119">
        <f>B6/H7/1000</f>
        <v>0.36427270454626626</v>
      </c>
      <c r="C7" s="119" t="s">
        <v>93</v>
      </c>
      <c r="D7" s="119"/>
      <c r="E7" s="119" t="s">
        <v>97</v>
      </c>
      <c r="F7" s="119"/>
      <c r="G7" s="119"/>
      <c r="H7" s="119">
        <f>140005/1000000</f>
        <v>0.14000499999999999</v>
      </c>
      <c r="I7" s="119" t="s">
        <v>95</v>
      </c>
      <c r="J7" s="119"/>
      <c r="K7" s="119" t="s">
        <v>226</v>
      </c>
      <c r="L7" s="149">
        <f>500/1000000*100</f>
        <v>0.05</v>
      </c>
      <c r="M7" s="119" t="s">
        <v>225</v>
      </c>
      <c r="N7" s="119"/>
      <c r="O7" s="119"/>
      <c r="P7" s="119"/>
      <c r="Q7" s="119"/>
      <c r="R7" s="119"/>
    </row>
    <row r="8" spans="1:18" s="124" customFormat="1" x14ac:dyDescent="0.2">
      <c r="A8" s="165" t="s">
        <v>98</v>
      </c>
      <c r="B8" s="119">
        <f>B6/H8</f>
        <v>0.05</v>
      </c>
      <c r="C8" s="119" t="s">
        <v>99</v>
      </c>
      <c r="E8" s="119" t="s">
        <v>100</v>
      </c>
      <c r="F8" s="119"/>
      <c r="H8" s="119">
        <v>1020</v>
      </c>
      <c r="I8" s="165" t="s">
        <v>53</v>
      </c>
      <c r="N8" s="119"/>
      <c r="O8" s="119"/>
      <c r="P8" s="119"/>
      <c r="Q8" s="119"/>
      <c r="R8" s="119"/>
    </row>
    <row r="9" spans="1:18" s="124" customFormat="1" ht="26.25" customHeight="1" x14ac:dyDescent="0.2">
      <c r="A9" s="764" t="s">
        <v>592</v>
      </c>
      <c r="B9" s="455">
        <f>B6/H9/1000</f>
        <v>0.40799999999999997</v>
      </c>
      <c r="C9" s="323" t="s">
        <v>93</v>
      </c>
      <c r="D9" s="323"/>
      <c r="E9" s="748" t="s">
        <v>596</v>
      </c>
      <c r="F9" s="323"/>
      <c r="G9" s="323"/>
      <c r="H9" s="744">
        <v>0.125</v>
      </c>
      <c r="I9" s="323" t="s">
        <v>95</v>
      </c>
      <c r="J9" s="323"/>
      <c r="K9" s="323"/>
      <c r="L9" s="452"/>
      <c r="M9" s="323"/>
      <c r="N9" s="323"/>
      <c r="O9" s="165"/>
      <c r="P9" s="165"/>
      <c r="Q9" s="165"/>
      <c r="R9" s="165"/>
    </row>
    <row r="10" spans="1:18" s="124" customFormat="1" ht="26.25" customHeight="1" x14ac:dyDescent="0.2">
      <c r="A10" s="764" t="s">
        <v>591</v>
      </c>
      <c r="B10" s="455">
        <f>B6/H10/1000</f>
        <v>0.42499999999999999</v>
      </c>
      <c r="C10" s="323" t="s">
        <v>93</v>
      </c>
      <c r="D10" s="323"/>
      <c r="E10" s="748" t="s">
        <v>593</v>
      </c>
      <c r="F10" s="323"/>
      <c r="G10" s="323"/>
      <c r="H10" s="744">
        <v>0.12</v>
      </c>
      <c r="I10" s="323" t="s">
        <v>95</v>
      </c>
      <c r="J10" s="323"/>
      <c r="K10" s="323" t="s">
        <v>230</v>
      </c>
      <c r="L10" s="452">
        <v>0.1</v>
      </c>
      <c r="M10" s="323" t="s">
        <v>225</v>
      </c>
      <c r="N10" s="323"/>
      <c r="O10" s="165"/>
      <c r="P10" s="165"/>
      <c r="Q10" s="165"/>
      <c r="R10" s="165"/>
    </row>
    <row r="11" spans="1:18" s="124" customFormat="1" ht="13.5" thickBot="1" x14ac:dyDescent="0.25">
      <c r="A11" s="323" t="s">
        <v>253</v>
      </c>
      <c r="B11" s="354">
        <f>B6/H11/1000</f>
        <v>0.55737704918032782</v>
      </c>
      <c r="C11" s="323" t="s">
        <v>93</v>
      </c>
      <c r="D11" s="119"/>
      <c r="E11" s="323" t="s">
        <v>254</v>
      </c>
      <c r="F11" s="119"/>
      <c r="G11" s="119"/>
      <c r="H11" s="119">
        <f>91.5/1000</f>
        <v>9.1499999999999998E-2</v>
      </c>
      <c r="I11" s="323" t="s">
        <v>95</v>
      </c>
      <c r="J11" s="119"/>
      <c r="K11" s="165" t="s">
        <v>257</v>
      </c>
      <c r="L11" s="119">
        <v>15</v>
      </c>
      <c r="M11" s="165" t="s">
        <v>259</v>
      </c>
      <c r="N11" s="119"/>
      <c r="O11" s="119"/>
      <c r="P11" s="119"/>
      <c r="Q11" s="119"/>
      <c r="R11" s="119"/>
    </row>
    <row r="12" spans="1:18" s="163" customFormat="1" ht="63.75" x14ac:dyDescent="0.2">
      <c r="A12" s="336" t="s">
        <v>102</v>
      </c>
      <c r="B12" s="686" t="s">
        <v>10</v>
      </c>
      <c r="C12" s="336" t="s">
        <v>103</v>
      </c>
      <c r="D12" s="337" t="s">
        <v>104</v>
      </c>
      <c r="E12" s="337" t="s">
        <v>331</v>
      </c>
      <c r="F12" s="338" t="s">
        <v>258</v>
      </c>
      <c r="G12" s="691" t="s">
        <v>106</v>
      </c>
      <c r="H12" s="337" t="s">
        <v>107</v>
      </c>
      <c r="I12" s="337" t="s">
        <v>332</v>
      </c>
      <c r="J12" s="686" t="s">
        <v>252</v>
      </c>
      <c r="K12" s="336" t="s">
        <v>306</v>
      </c>
      <c r="L12" s="337" t="s">
        <v>307</v>
      </c>
      <c r="M12" s="337" t="s">
        <v>333</v>
      </c>
      <c r="N12" s="338" t="s">
        <v>308</v>
      </c>
      <c r="O12" s="691" t="s">
        <v>109</v>
      </c>
      <c r="P12" s="337" t="s">
        <v>110</v>
      </c>
      <c r="Q12" s="338" t="s">
        <v>111</v>
      </c>
    </row>
    <row r="13" spans="1:18" s="124" customFormat="1" ht="12.75" customHeight="1" x14ac:dyDescent="0.2">
      <c r="A13" s="960" t="s">
        <v>655</v>
      </c>
      <c r="B13" s="719" t="s">
        <v>113</v>
      </c>
      <c r="C13" s="697">
        <v>1.7999999999999999E-6</v>
      </c>
      <c r="D13" s="117">
        <v>2.1100000000000001E-5</v>
      </c>
      <c r="E13" s="117">
        <v>2.1100000000000001E-5</v>
      </c>
      <c r="F13" s="698">
        <f t="shared" ref="F13:F25" si="0">C13/$H$8*$H$11*1000</f>
        <v>1.614705882352941E-7</v>
      </c>
      <c r="G13" s="692">
        <f t="shared" ref="G13:G25" si="1">C13*$B$8</f>
        <v>8.9999999999999999E-8</v>
      </c>
      <c r="H13" s="117">
        <f>D13*$B$7*$H$6</f>
        <v>7.6861540659262177E-6</v>
      </c>
      <c r="I13" s="117">
        <f>E13*$B$10</f>
        <v>8.9675000000000001E-6</v>
      </c>
      <c r="J13" s="704">
        <f t="shared" ref="J13:J25" si="2">F13*$B$11</f>
        <v>8.9999999999999985E-8</v>
      </c>
      <c r="K13" s="697">
        <f t="shared" ref="K13:K25" si="3">G13*8760/2000</f>
        <v>3.9419999999999997E-7</v>
      </c>
      <c r="L13" s="117">
        <f>H13*8760/2000*H$6</f>
        <v>3.3665354808756835E-5</v>
      </c>
      <c r="M13" s="117">
        <f>I13*8760/2000*H$6</f>
        <v>3.9277649999999995E-5</v>
      </c>
      <c r="N13" s="698">
        <f t="shared" ref="N13:N25" si="4">J13*8760/2000*H$6</f>
        <v>3.9419999999999992E-7</v>
      </c>
      <c r="O13" s="709">
        <f t="shared" ref="O13:O35" si="5">MAX(G13:J13)</f>
        <v>8.9675000000000001E-6</v>
      </c>
      <c r="P13" s="158">
        <f>O13*8760/2000</f>
        <v>3.9277649999999995E-5</v>
      </c>
      <c r="Q13" s="339">
        <f>MAX(K13:N13)</f>
        <v>3.9277649999999995E-5</v>
      </c>
    </row>
    <row r="14" spans="1:18" s="124" customFormat="1" x14ac:dyDescent="0.2">
      <c r="A14" s="961"/>
      <c r="B14" s="719" t="s">
        <v>114</v>
      </c>
      <c r="C14" s="697">
        <v>1.7999999999999999E-6</v>
      </c>
      <c r="D14" s="117">
        <v>2.53E-7</v>
      </c>
      <c r="E14" s="117">
        <v>2.53E-7</v>
      </c>
      <c r="F14" s="698">
        <f t="shared" si="0"/>
        <v>1.614705882352941E-7</v>
      </c>
      <c r="G14" s="692">
        <f t="shared" si="1"/>
        <v>8.9999999999999999E-8</v>
      </c>
      <c r="H14" s="117">
        <f>D14*$B$7*$H$6</f>
        <v>9.2160994250205359E-8</v>
      </c>
      <c r="I14" s="117">
        <f>E14*$B$10</f>
        <v>1.0752499999999999E-7</v>
      </c>
      <c r="J14" s="704">
        <f t="shared" si="2"/>
        <v>8.9999999999999985E-8</v>
      </c>
      <c r="K14" s="697">
        <f t="shared" si="3"/>
        <v>3.9419999999999997E-7</v>
      </c>
      <c r="L14" s="117">
        <f>H14*8760/2000*H$6</f>
        <v>4.0366515481589947E-7</v>
      </c>
      <c r="M14" s="117">
        <f>I14*8760/2000*H$6</f>
        <v>4.7095949999999996E-7</v>
      </c>
      <c r="N14" s="698">
        <f t="shared" si="4"/>
        <v>3.9419999999999992E-7</v>
      </c>
      <c r="O14" s="709">
        <f t="shared" si="5"/>
        <v>1.0752499999999999E-7</v>
      </c>
      <c r="P14" s="158">
        <f t="shared" ref="P14:P31" si="6">O14*8760/2000</f>
        <v>4.7095949999999996E-7</v>
      </c>
      <c r="Q14" s="339">
        <f t="shared" ref="Q14:Q65" si="7">MAX(K14:N14)</f>
        <v>4.7095949999999996E-7</v>
      </c>
    </row>
    <row r="15" spans="1:18" s="124" customFormat="1" ht="12.75" customHeight="1" x14ac:dyDescent="0.2">
      <c r="A15" s="961"/>
      <c r="B15" s="719" t="s">
        <v>115</v>
      </c>
      <c r="C15" s="697">
        <v>2.3999999999999999E-6</v>
      </c>
      <c r="D15" s="117">
        <v>1.22E-6</v>
      </c>
      <c r="E15" s="117">
        <v>1.22E-6</v>
      </c>
      <c r="F15" s="698">
        <f t="shared" si="0"/>
        <v>2.1529411764705881E-7</v>
      </c>
      <c r="G15" s="692">
        <f t="shared" si="1"/>
        <v>1.1999999999999999E-7</v>
      </c>
      <c r="H15" s="117">
        <f>D15*$B$7*$H$6</f>
        <v>4.4441269954644482E-7</v>
      </c>
      <c r="I15" s="117">
        <f>E15*$B$10</f>
        <v>5.1849999999999999E-7</v>
      </c>
      <c r="J15" s="704">
        <f t="shared" si="2"/>
        <v>1.1999999999999999E-7</v>
      </c>
      <c r="K15" s="697">
        <f t="shared" si="3"/>
        <v>5.2559999999999999E-7</v>
      </c>
      <c r="L15" s="117">
        <f>H15*8760/2000*H$6</f>
        <v>1.9465276240134282E-6</v>
      </c>
      <c r="M15" s="117">
        <f>I15*8760/2000*H$6</f>
        <v>2.2710299999999999E-6</v>
      </c>
      <c r="N15" s="698">
        <f t="shared" si="4"/>
        <v>5.2559999999999999E-7</v>
      </c>
      <c r="O15" s="709">
        <f t="shared" si="5"/>
        <v>5.1849999999999999E-7</v>
      </c>
      <c r="P15" s="158">
        <f t="shared" si="6"/>
        <v>2.2710299999999999E-6</v>
      </c>
      <c r="Q15" s="339">
        <f t="shared" si="7"/>
        <v>2.2710299999999999E-6</v>
      </c>
    </row>
    <row r="16" spans="1:18" s="124" customFormat="1" x14ac:dyDescent="0.2">
      <c r="A16" s="961"/>
      <c r="B16" s="719" t="s">
        <v>116</v>
      </c>
      <c r="C16" s="697">
        <v>1.7999999999999999E-6</v>
      </c>
      <c r="D16" s="117">
        <v>4.0099999999999997E-6</v>
      </c>
      <c r="E16" s="117">
        <v>4.0099999999999997E-6</v>
      </c>
      <c r="F16" s="698">
        <f t="shared" si="0"/>
        <v>1.614705882352941E-7</v>
      </c>
      <c r="G16" s="692">
        <f t="shared" si="1"/>
        <v>8.9999999999999999E-8</v>
      </c>
      <c r="H16" s="117">
        <f>D16*$B$7*$H$6</f>
        <v>1.4607335452305275E-6</v>
      </c>
      <c r="I16" s="117">
        <f>E16*$B$10</f>
        <v>1.7042499999999998E-6</v>
      </c>
      <c r="J16" s="704">
        <f t="shared" si="2"/>
        <v>8.9999999999999985E-8</v>
      </c>
      <c r="K16" s="697">
        <f t="shared" si="3"/>
        <v>3.9419999999999997E-7</v>
      </c>
      <c r="L16" s="117">
        <f>H16*8760/2000*H$6</f>
        <v>6.3980129281097101E-6</v>
      </c>
      <c r="M16" s="117">
        <f>I16*8760/2000*H$6</f>
        <v>7.464614999999999E-6</v>
      </c>
      <c r="N16" s="698">
        <f t="shared" si="4"/>
        <v>3.9419999999999992E-7</v>
      </c>
      <c r="O16" s="709">
        <f t="shared" si="5"/>
        <v>1.7042499999999998E-6</v>
      </c>
      <c r="P16" s="158">
        <f t="shared" si="6"/>
        <v>7.464614999999999E-6</v>
      </c>
      <c r="Q16" s="339">
        <f t="shared" si="7"/>
        <v>7.464614999999999E-6</v>
      </c>
    </row>
    <row r="17" spans="1:24" s="124" customFormat="1" x14ac:dyDescent="0.2">
      <c r="A17" s="961"/>
      <c r="B17" s="719" t="s">
        <v>117</v>
      </c>
      <c r="C17" s="697">
        <v>2.0999999999999999E-3</v>
      </c>
      <c r="D17" s="117">
        <v>2.14E-4</v>
      </c>
      <c r="E17" s="117">
        <v>2.14E-4</v>
      </c>
      <c r="F17" s="698">
        <f t="shared" si="0"/>
        <v>1.8838235294117646E-4</v>
      </c>
      <c r="G17" s="692">
        <f t="shared" si="1"/>
        <v>1.05E-4</v>
      </c>
      <c r="H17" s="117">
        <f>D17*$B$7*$H$6</f>
        <v>7.7954358772900975E-5</v>
      </c>
      <c r="I17" s="117">
        <f>E17*$B$10</f>
        <v>9.0950000000000002E-5</v>
      </c>
      <c r="J17" s="704">
        <f t="shared" si="2"/>
        <v>1.0499999999999999E-4</v>
      </c>
      <c r="K17" s="697">
        <f t="shared" si="3"/>
        <v>4.5990000000000001E-4</v>
      </c>
      <c r="L17" s="117">
        <f>H17*8760/2000*H$6</f>
        <v>3.4144009142530627E-4</v>
      </c>
      <c r="M17" s="117">
        <f>I17*8760/2000*H$6</f>
        <v>3.9836100000000002E-4</v>
      </c>
      <c r="N17" s="698">
        <f t="shared" si="4"/>
        <v>4.5989999999999996E-4</v>
      </c>
      <c r="O17" s="709">
        <f t="shared" si="5"/>
        <v>1.05E-4</v>
      </c>
      <c r="P17" s="158">
        <f t="shared" si="6"/>
        <v>4.5990000000000001E-4</v>
      </c>
      <c r="Q17" s="339">
        <f t="shared" si="7"/>
        <v>4.5990000000000001E-4</v>
      </c>
    </row>
    <row r="18" spans="1:24" s="124" customFormat="1" x14ac:dyDescent="0.2">
      <c r="A18" s="961"/>
      <c r="B18" s="720" t="s">
        <v>118</v>
      </c>
      <c r="C18" s="697">
        <v>1.1999999999999999E-6</v>
      </c>
      <c r="D18" s="117"/>
      <c r="E18" s="117"/>
      <c r="F18" s="698">
        <f t="shared" si="0"/>
        <v>1.0764705882352941E-7</v>
      </c>
      <c r="G18" s="692">
        <f t="shared" si="1"/>
        <v>5.9999999999999995E-8</v>
      </c>
      <c r="H18" s="117"/>
      <c r="I18" s="324"/>
      <c r="J18" s="704">
        <f t="shared" si="2"/>
        <v>5.9999999999999995E-8</v>
      </c>
      <c r="K18" s="697">
        <f t="shared" si="3"/>
        <v>2.628E-7</v>
      </c>
      <c r="L18" s="117"/>
      <c r="M18" s="117"/>
      <c r="N18" s="698">
        <f t="shared" si="4"/>
        <v>2.628E-7</v>
      </c>
      <c r="O18" s="709">
        <f t="shared" si="5"/>
        <v>5.9999999999999995E-8</v>
      </c>
      <c r="P18" s="158">
        <f t="shared" si="6"/>
        <v>2.628E-7</v>
      </c>
      <c r="Q18" s="339">
        <f t="shared" si="7"/>
        <v>2.628E-7</v>
      </c>
    </row>
    <row r="19" spans="1:24" s="124" customFormat="1" x14ac:dyDescent="0.2">
      <c r="A19" s="961"/>
      <c r="B19" s="719" t="s">
        <v>213</v>
      </c>
      <c r="C19" s="697">
        <v>1.7999999999999999E-6</v>
      </c>
      <c r="D19" s="117">
        <v>1.48E-6</v>
      </c>
      <c r="E19" s="117">
        <v>1.48E-6</v>
      </c>
      <c r="F19" s="698">
        <f t="shared" si="0"/>
        <v>1.614705882352941E-7</v>
      </c>
      <c r="G19" s="692">
        <f t="shared" si="1"/>
        <v>8.9999999999999999E-8</v>
      </c>
      <c r="H19" s="117">
        <f>D19*$B$7*$H$6</f>
        <v>5.3912360272847408E-7</v>
      </c>
      <c r="I19" s="117">
        <f>E19*$B$10</f>
        <v>6.2900000000000003E-7</v>
      </c>
      <c r="J19" s="704">
        <f t="shared" si="2"/>
        <v>8.9999999999999985E-8</v>
      </c>
      <c r="K19" s="697">
        <f t="shared" si="3"/>
        <v>3.9419999999999997E-7</v>
      </c>
      <c r="L19" s="117">
        <f>H19*8760/2000*H$6</f>
        <v>2.3613613799507163E-6</v>
      </c>
      <c r="M19" s="117">
        <f>I19*8760/2000*H$6</f>
        <v>2.75502E-6</v>
      </c>
      <c r="N19" s="698">
        <f t="shared" si="4"/>
        <v>3.9419999999999992E-7</v>
      </c>
      <c r="O19" s="709">
        <f t="shared" si="5"/>
        <v>6.2900000000000003E-7</v>
      </c>
      <c r="P19" s="158">
        <f t="shared" si="6"/>
        <v>2.75502E-6</v>
      </c>
      <c r="Q19" s="339">
        <f t="shared" si="7"/>
        <v>2.75502E-6</v>
      </c>
    </row>
    <row r="20" spans="1:24" s="124" customFormat="1" x14ac:dyDescent="0.2">
      <c r="A20" s="961"/>
      <c r="B20" s="719" t="s">
        <v>120</v>
      </c>
      <c r="C20" s="697">
        <v>1.1999999999999999E-6</v>
      </c>
      <c r="D20" s="117">
        <v>2.26E-6</v>
      </c>
      <c r="E20" s="117">
        <v>2.26E-6</v>
      </c>
      <c r="F20" s="698">
        <f t="shared" si="0"/>
        <v>1.0764705882352941E-7</v>
      </c>
      <c r="G20" s="692">
        <f t="shared" si="1"/>
        <v>5.9999999999999995E-8</v>
      </c>
      <c r="H20" s="117">
        <f>D20*$B$7*$H$6</f>
        <v>8.2325631227456175E-7</v>
      </c>
      <c r="I20" s="117">
        <f>E20*$B$10</f>
        <v>9.6049999999999995E-7</v>
      </c>
      <c r="J20" s="704">
        <f t="shared" si="2"/>
        <v>5.9999999999999995E-8</v>
      </c>
      <c r="K20" s="697">
        <f t="shared" si="3"/>
        <v>2.628E-7</v>
      </c>
      <c r="L20" s="117">
        <f>H20*8760/2000*H$6</f>
        <v>3.6058626477625806E-6</v>
      </c>
      <c r="M20" s="117">
        <f>I20*8760/2000*H$6</f>
        <v>4.2069899999999998E-6</v>
      </c>
      <c r="N20" s="698">
        <f t="shared" si="4"/>
        <v>2.628E-7</v>
      </c>
      <c r="O20" s="709">
        <f t="shared" si="5"/>
        <v>9.6049999999999995E-7</v>
      </c>
      <c r="P20" s="158">
        <f t="shared" si="6"/>
        <v>4.2069899999999998E-6</v>
      </c>
      <c r="Q20" s="339">
        <f t="shared" si="7"/>
        <v>4.2069899999999998E-6</v>
      </c>
    </row>
    <row r="21" spans="1:24" s="124" customFormat="1" x14ac:dyDescent="0.2">
      <c r="A21" s="961"/>
      <c r="B21" s="719" t="s">
        <v>121</v>
      </c>
      <c r="C21" s="697">
        <v>1.7999999999999999E-6</v>
      </c>
      <c r="D21" s="117">
        <v>1.48E-6</v>
      </c>
      <c r="E21" s="117">
        <v>1.48E-6</v>
      </c>
      <c r="F21" s="698">
        <f t="shared" si="0"/>
        <v>1.614705882352941E-7</v>
      </c>
      <c r="G21" s="692">
        <f t="shared" si="1"/>
        <v>8.9999999999999999E-8</v>
      </c>
      <c r="H21" s="117">
        <f>D21*$B$7*$H$6</f>
        <v>5.3912360272847408E-7</v>
      </c>
      <c r="I21" s="117">
        <f>E21*$B$10</f>
        <v>6.2900000000000003E-7</v>
      </c>
      <c r="J21" s="704">
        <f t="shared" si="2"/>
        <v>8.9999999999999985E-8</v>
      </c>
      <c r="K21" s="697">
        <f t="shared" si="3"/>
        <v>3.9419999999999997E-7</v>
      </c>
      <c r="L21" s="117">
        <f>H21*8760/2000*H$6</f>
        <v>2.3613613799507163E-6</v>
      </c>
      <c r="M21" s="117">
        <f>I21*8760/2000*H$6</f>
        <v>2.75502E-6</v>
      </c>
      <c r="N21" s="698">
        <f t="shared" si="4"/>
        <v>3.9419999999999992E-7</v>
      </c>
      <c r="O21" s="709">
        <f t="shared" si="5"/>
        <v>6.2900000000000003E-7</v>
      </c>
      <c r="P21" s="158">
        <f t="shared" si="6"/>
        <v>2.75502E-6</v>
      </c>
      <c r="Q21" s="339">
        <f t="shared" si="7"/>
        <v>2.75502E-6</v>
      </c>
    </row>
    <row r="22" spans="1:24" s="124" customFormat="1" x14ac:dyDescent="0.2">
      <c r="A22" s="961"/>
      <c r="B22" s="719" t="s">
        <v>122</v>
      </c>
      <c r="C22" s="697">
        <v>1.7999999999999999E-6</v>
      </c>
      <c r="D22" s="117">
        <v>2.3800000000000001E-6</v>
      </c>
      <c r="E22" s="117">
        <v>2.3800000000000001E-6</v>
      </c>
      <c r="F22" s="698">
        <f t="shared" si="0"/>
        <v>1.614705882352941E-7</v>
      </c>
      <c r="G22" s="692">
        <f t="shared" si="1"/>
        <v>8.9999999999999999E-8</v>
      </c>
      <c r="H22" s="117">
        <f>D22*$B$7*$H$6</f>
        <v>8.6696903682011375E-7</v>
      </c>
      <c r="I22" s="117">
        <f>E22*$B$10</f>
        <v>1.0115E-6</v>
      </c>
      <c r="J22" s="704">
        <f t="shared" si="2"/>
        <v>8.9999999999999985E-8</v>
      </c>
      <c r="K22" s="697">
        <f t="shared" si="3"/>
        <v>3.9419999999999997E-7</v>
      </c>
      <c r="L22" s="117">
        <f>H22*8760/2000*H$6</f>
        <v>3.7973243812720982E-6</v>
      </c>
      <c r="M22" s="117">
        <f>I22*8760/2000*H$6</f>
        <v>4.4303699999999996E-6</v>
      </c>
      <c r="N22" s="698">
        <f t="shared" si="4"/>
        <v>3.9419999999999992E-7</v>
      </c>
      <c r="O22" s="709">
        <f t="shared" si="5"/>
        <v>1.0115E-6</v>
      </c>
      <c r="P22" s="158">
        <f t="shared" si="6"/>
        <v>4.4303699999999996E-6</v>
      </c>
      <c r="Q22" s="339">
        <f t="shared" si="7"/>
        <v>4.4303699999999996E-6</v>
      </c>
    </row>
    <row r="23" spans="1:24" s="124" customFormat="1" x14ac:dyDescent="0.2">
      <c r="A23" s="961"/>
      <c r="B23" s="719" t="s">
        <v>123</v>
      </c>
      <c r="C23" s="697">
        <v>1.1999999999999999E-3</v>
      </c>
      <c r="D23" s="117">
        <v>1.6700000000000001E-6</v>
      </c>
      <c r="E23" s="117">
        <v>1.6700000000000001E-6</v>
      </c>
      <c r="F23" s="698">
        <f t="shared" si="0"/>
        <v>1.0764705882352939E-4</v>
      </c>
      <c r="G23" s="692">
        <f t="shared" si="1"/>
        <v>5.9999999999999995E-5</v>
      </c>
      <c r="H23" s="117">
        <f>D23*$B$7*$H$6</f>
        <v>6.0833541659226471E-7</v>
      </c>
      <c r="I23" s="117">
        <f>E23*$B$10</f>
        <v>7.0975000000000007E-7</v>
      </c>
      <c r="J23" s="704">
        <f t="shared" si="2"/>
        <v>5.9999999999999981E-5</v>
      </c>
      <c r="K23" s="697">
        <f t="shared" si="3"/>
        <v>2.6279999999999999E-4</v>
      </c>
      <c r="L23" s="117">
        <f>H23*8760/2000*H$6</f>
        <v>2.6645091246741194E-6</v>
      </c>
      <c r="M23" s="117">
        <f>I23*8760/2000*H$6</f>
        <v>3.1087050000000003E-6</v>
      </c>
      <c r="N23" s="698">
        <f t="shared" si="4"/>
        <v>2.6279999999999994E-4</v>
      </c>
      <c r="O23" s="709">
        <f t="shared" si="5"/>
        <v>5.9999999999999995E-5</v>
      </c>
      <c r="P23" s="158">
        <f t="shared" si="6"/>
        <v>2.6279999999999999E-4</v>
      </c>
      <c r="Q23" s="339">
        <f t="shared" si="7"/>
        <v>2.6279999999999999E-4</v>
      </c>
    </row>
    <row r="24" spans="1:24" s="124" customFormat="1" x14ac:dyDescent="0.2">
      <c r="A24" s="961"/>
      <c r="B24" s="719" t="s">
        <v>124</v>
      </c>
      <c r="C24" s="697">
        <v>1.1999999999999999E-3</v>
      </c>
      <c r="D24" s="117"/>
      <c r="E24" s="117"/>
      <c r="F24" s="698">
        <f t="shared" si="0"/>
        <v>1.0764705882352939E-4</v>
      </c>
      <c r="G24" s="692">
        <f t="shared" si="1"/>
        <v>5.9999999999999995E-5</v>
      </c>
      <c r="H24" s="117"/>
      <c r="I24" s="324"/>
      <c r="J24" s="704">
        <f t="shared" si="2"/>
        <v>5.9999999999999981E-5</v>
      </c>
      <c r="K24" s="697">
        <f t="shared" si="3"/>
        <v>2.6279999999999999E-4</v>
      </c>
      <c r="L24" s="117"/>
      <c r="M24" s="117"/>
      <c r="N24" s="698">
        <f t="shared" si="4"/>
        <v>2.6279999999999994E-4</v>
      </c>
      <c r="O24" s="709">
        <f t="shared" si="5"/>
        <v>5.9999999999999995E-5</v>
      </c>
      <c r="P24" s="158">
        <f t="shared" si="6"/>
        <v>2.6279999999999999E-4</v>
      </c>
      <c r="Q24" s="339">
        <f t="shared" si="7"/>
        <v>2.6279999999999999E-4</v>
      </c>
    </row>
    <row r="25" spans="1:24" s="124" customFormat="1" x14ac:dyDescent="0.2">
      <c r="A25" s="961"/>
      <c r="B25" s="719" t="s">
        <v>214</v>
      </c>
      <c r="C25" s="697">
        <v>1.5999999999999999E-5</v>
      </c>
      <c r="D25" s="117"/>
      <c r="E25" s="117"/>
      <c r="F25" s="698">
        <f t="shared" si="0"/>
        <v>1.4352941176470588E-6</v>
      </c>
      <c r="G25" s="692">
        <f t="shared" si="1"/>
        <v>7.9999999999999996E-7</v>
      </c>
      <c r="H25" s="117"/>
      <c r="I25" s="324"/>
      <c r="J25" s="704">
        <f t="shared" si="2"/>
        <v>7.9999999999999996E-7</v>
      </c>
      <c r="K25" s="697">
        <f t="shared" si="3"/>
        <v>3.5039999999999998E-6</v>
      </c>
      <c r="L25" s="117"/>
      <c r="M25" s="117"/>
      <c r="N25" s="698">
        <f t="shared" si="4"/>
        <v>3.5039999999999998E-6</v>
      </c>
      <c r="O25" s="709">
        <f t="shared" si="5"/>
        <v>7.9999999999999996E-7</v>
      </c>
      <c r="P25" s="158">
        <f t="shared" si="6"/>
        <v>3.5039999999999998E-6</v>
      </c>
      <c r="Q25" s="339">
        <f t="shared" si="7"/>
        <v>3.5039999999999998E-6</v>
      </c>
    </row>
    <row r="26" spans="1:24" s="124" customFormat="1" x14ac:dyDescent="0.2">
      <c r="A26" s="961"/>
      <c r="B26" s="719" t="s">
        <v>125</v>
      </c>
      <c r="C26" s="697"/>
      <c r="D26" s="117">
        <v>6.3600000000000001E-5</v>
      </c>
      <c r="E26" s="117">
        <v>6.3600000000000001E-5</v>
      </c>
      <c r="F26" s="698"/>
      <c r="G26" s="692"/>
      <c r="H26" s="117">
        <f>D26*$B$7*$H$6</f>
        <v>2.3167744009142534E-5</v>
      </c>
      <c r="I26" s="117">
        <f>E26*$B$10</f>
        <v>2.703E-5</v>
      </c>
      <c r="J26" s="704"/>
      <c r="K26" s="697"/>
      <c r="L26" s="117">
        <f>H26*8760/2000*H$6</f>
        <v>1.0147471876004429E-4</v>
      </c>
      <c r="M26" s="117">
        <f>I26*8760/2000*H$6</f>
        <v>1.1839140000000001E-4</v>
      </c>
      <c r="N26" s="698"/>
      <c r="O26" s="709">
        <f t="shared" si="5"/>
        <v>2.703E-5</v>
      </c>
      <c r="P26" s="158">
        <f t="shared" si="6"/>
        <v>1.1839140000000001E-4</v>
      </c>
      <c r="Q26" s="339">
        <f t="shared" si="7"/>
        <v>1.1839140000000001E-4</v>
      </c>
    </row>
    <row r="27" spans="1:24" s="124" customFormat="1" x14ac:dyDescent="0.2">
      <c r="A27" s="961"/>
      <c r="B27" s="719" t="s">
        <v>126</v>
      </c>
      <c r="C27" s="697">
        <v>3.0000000000000001E-6</v>
      </c>
      <c r="D27" s="117">
        <v>4.8400000000000002E-6</v>
      </c>
      <c r="E27" s="117">
        <v>4.8400000000000002E-6</v>
      </c>
      <c r="F27" s="698">
        <f t="shared" ref="F27:F35" si="8">C27/$H$8*$H$11*1000</f>
        <v>2.6911764705882348E-7</v>
      </c>
      <c r="G27" s="692">
        <f t="shared" ref="G27:G35" si="9">C27*$B$8</f>
        <v>1.5000000000000002E-7</v>
      </c>
      <c r="H27" s="117">
        <f>D27*$B$7*$H$6</f>
        <v>1.7630798900039288E-6</v>
      </c>
      <c r="I27" s="117">
        <f>E27*$B$10</f>
        <v>2.057E-6</v>
      </c>
      <c r="J27" s="704">
        <f t="shared" ref="J27:J35" si="10">F27*$B$11</f>
        <v>1.4999999999999997E-7</v>
      </c>
      <c r="K27" s="697">
        <f t="shared" ref="K27:K35" si="11">G27*8760/2000</f>
        <v>6.5700000000000013E-7</v>
      </c>
      <c r="L27" s="117">
        <f>H27*8760/2000*H$6</f>
        <v>7.7222899182172087E-6</v>
      </c>
      <c r="M27" s="117">
        <f>I27*8760/2000*H$6</f>
        <v>9.0096599999999984E-6</v>
      </c>
      <c r="N27" s="698">
        <f t="shared" ref="N27:N35" si="12">J27*8760/2000*H$6</f>
        <v>6.5699999999999981E-7</v>
      </c>
      <c r="O27" s="709">
        <f t="shared" si="5"/>
        <v>2.057E-6</v>
      </c>
      <c r="P27" s="158">
        <f t="shared" si="6"/>
        <v>9.0096599999999984E-6</v>
      </c>
      <c r="Q27" s="339">
        <f t="shared" si="7"/>
        <v>9.0096599999999984E-6</v>
      </c>
    </row>
    <row r="28" spans="1:24" s="124" customFormat="1" x14ac:dyDescent="0.2">
      <c r="A28" s="961"/>
      <c r="B28" s="719" t="s">
        <v>127</v>
      </c>
      <c r="C28" s="697">
        <v>2.7999999999999999E-6</v>
      </c>
      <c r="D28" s="117">
        <v>4.4700000000000004E-6</v>
      </c>
      <c r="E28" s="117">
        <v>4.4700000000000004E-6</v>
      </c>
      <c r="F28" s="698">
        <f t="shared" si="8"/>
        <v>2.5117647058823527E-7</v>
      </c>
      <c r="G28" s="692">
        <f t="shared" si="9"/>
        <v>1.4000000000000001E-7</v>
      </c>
      <c r="H28" s="117">
        <f>D28*$B$7*$H$6</f>
        <v>1.6282989893218102E-6</v>
      </c>
      <c r="I28" s="117">
        <f>E28*$B$10</f>
        <v>1.8997500000000001E-6</v>
      </c>
      <c r="J28" s="704">
        <f t="shared" si="10"/>
        <v>1.3999999999999998E-7</v>
      </c>
      <c r="K28" s="697">
        <f t="shared" si="11"/>
        <v>6.1320000000000001E-7</v>
      </c>
      <c r="L28" s="117">
        <f>H28*8760/2000*H$6</f>
        <v>7.1319495732295294E-6</v>
      </c>
      <c r="M28" s="117">
        <f>I28*8760/2000*H$6</f>
        <v>8.3209050000000006E-6</v>
      </c>
      <c r="N28" s="698">
        <f t="shared" si="12"/>
        <v>6.1319999999999991E-7</v>
      </c>
      <c r="O28" s="709">
        <f t="shared" si="5"/>
        <v>1.8997500000000001E-6</v>
      </c>
      <c r="P28" s="158">
        <f t="shared" si="6"/>
        <v>8.3209050000000006E-6</v>
      </c>
      <c r="Q28" s="339">
        <f t="shared" si="7"/>
        <v>8.3209050000000006E-6</v>
      </c>
    </row>
    <row r="29" spans="1:24" s="124" customFormat="1" x14ac:dyDescent="0.2">
      <c r="A29" s="961"/>
      <c r="B29" s="719" t="s">
        <v>128</v>
      </c>
      <c r="C29" s="697">
        <v>7.4999999999999997E-2</v>
      </c>
      <c r="D29" s="117">
        <v>3.3000000000000002E-2</v>
      </c>
      <c r="E29" s="117">
        <f>'RAFVO Emission Factors'!F24</f>
        <v>2.4000000000000002E-3</v>
      </c>
      <c r="F29" s="698">
        <f t="shared" si="8"/>
        <v>6.7279411764705876E-3</v>
      </c>
      <c r="G29" s="692">
        <f t="shared" si="9"/>
        <v>3.7499999999999999E-3</v>
      </c>
      <c r="H29" s="117">
        <f>D29*$B$7*$H$6</f>
        <v>1.2020999250026787E-2</v>
      </c>
      <c r="I29" s="117">
        <f>E29*$B$10</f>
        <v>1.0200000000000001E-3</v>
      </c>
      <c r="J29" s="704">
        <f t="shared" si="10"/>
        <v>3.7499999999999994E-3</v>
      </c>
      <c r="K29" s="697">
        <f t="shared" si="11"/>
        <v>1.6425000000000002E-2</v>
      </c>
      <c r="L29" s="117">
        <f>H29*8760/2000*H$6</f>
        <v>5.265197671511733E-2</v>
      </c>
      <c r="M29" s="117">
        <f>I29*8760/2000*H$6</f>
        <v>4.4676000000000004E-3</v>
      </c>
      <c r="N29" s="698">
        <f t="shared" si="12"/>
        <v>1.6424999999999999E-2</v>
      </c>
      <c r="O29" s="709">
        <f t="shared" si="5"/>
        <v>1.2020999250026787E-2</v>
      </c>
      <c r="P29" s="158">
        <f t="shared" si="6"/>
        <v>5.265197671511733E-2</v>
      </c>
      <c r="Q29" s="339">
        <f t="shared" si="7"/>
        <v>5.265197671511733E-2</v>
      </c>
      <c r="X29" s="150"/>
    </row>
    <row r="30" spans="1:24" s="124" customFormat="1" ht="12.75" customHeight="1" x14ac:dyDescent="0.2">
      <c r="A30" s="961"/>
      <c r="B30" s="719" t="s">
        <v>129</v>
      </c>
      <c r="C30" s="697">
        <v>1.8</v>
      </c>
      <c r="D30" s="117"/>
      <c r="E30" s="117"/>
      <c r="F30" s="698">
        <f t="shared" si="8"/>
        <v>0.16147058823529412</v>
      </c>
      <c r="G30" s="692">
        <f t="shared" si="9"/>
        <v>9.0000000000000011E-2</v>
      </c>
      <c r="H30" s="117"/>
      <c r="I30" s="324"/>
      <c r="J30" s="704">
        <f t="shared" si="10"/>
        <v>0.09</v>
      </c>
      <c r="K30" s="697">
        <f t="shared" si="11"/>
        <v>0.39420000000000005</v>
      </c>
      <c r="L30" s="117"/>
      <c r="M30" s="117"/>
      <c r="N30" s="698">
        <f t="shared" si="12"/>
        <v>0.39419999999999999</v>
      </c>
      <c r="O30" s="709">
        <f t="shared" si="5"/>
        <v>9.0000000000000011E-2</v>
      </c>
      <c r="P30" s="158">
        <f t="shared" si="6"/>
        <v>0.39420000000000005</v>
      </c>
      <c r="Q30" s="339">
        <f t="shared" si="7"/>
        <v>0.39420000000000005</v>
      </c>
    </row>
    <row r="31" spans="1:24" s="124" customFormat="1" x14ac:dyDescent="0.2">
      <c r="A31" s="961"/>
      <c r="B31" s="719" t="s">
        <v>130</v>
      </c>
      <c r="C31" s="697">
        <v>1.7999999999999999E-6</v>
      </c>
      <c r="D31" s="117">
        <v>2.1399999999999998E-6</v>
      </c>
      <c r="E31" s="117">
        <v>2.1399999999999998E-6</v>
      </c>
      <c r="F31" s="698">
        <f t="shared" si="8"/>
        <v>1.614705882352941E-7</v>
      </c>
      <c r="G31" s="692">
        <f t="shared" si="9"/>
        <v>8.9999999999999999E-8</v>
      </c>
      <c r="H31" s="117">
        <f>D31*$B$7*$H$6</f>
        <v>7.7954358772900975E-7</v>
      </c>
      <c r="I31" s="117">
        <f>E31*$B$10</f>
        <v>9.0949999999999993E-7</v>
      </c>
      <c r="J31" s="704">
        <f t="shared" si="10"/>
        <v>8.9999999999999985E-8</v>
      </c>
      <c r="K31" s="697">
        <f t="shared" si="11"/>
        <v>3.9419999999999997E-7</v>
      </c>
      <c r="L31" s="117">
        <f>H31*8760/2000*H$6</f>
        <v>3.4144009142530625E-6</v>
      </c>
      <c r="M31" s="117">
        <f>I31*8760/2000*H$6</f>
        <v>3.9836099999999993E-6</v>
      </c>
      <c r="N31" s="698">
        <f t="shared" si="12"/>
        <v>3.9419999999999992E-7</v>
      </c>
      <c r="O31" s="709">
        <f t="shared" si="5"/>
        <v>9.0949999999999993E-7</v>
      </c>
      <c r="P31" s="158">
        <f t="shared" si="6"/>
        <v>3.9836099999999993E-6</v>
      </c>
      <c r="Q31" s="339">
        <f t="shared" si="7"/>
        <v>3.9836099999999993E-6</v>
      </c>
    </row>
    <row r="32" spans="1:24" s="124" customFormat="1" x14ac:dyDescent="0.2">
      <c r="A32" s="961"/>
      <c r="B32" s="719" t="s">
        <v>216</v>
      </c>
      <c r="C32" s="697">
        <v>2.4000000000000001E-5</v>
      </c>
      <c r="D32" s="117"/>
      <c r="E32" s="117"/>
      <c r="F32" s="698">
        <f t="shared" si="8"/>
        <v>2.1529411764705878E-6</v>
      </c>
      <c r="G32" s="692">
        <f t="shared" si="9"/>
        <v>1.2000000000000002E-6</v>
      </c>
      <c r="H32" s="117"/>
      <c r="I32" s="324"/>
      <c r="J32" s="704">
        <f t="shared" si="10"/>
        <v>1.1999999999999997E-6</v>
      </c>
      <c r="K32" s="697">
        <f t="shared" si="11"/>
        <v>5.256000000000001E-6</v>
      </c>
      <c r="L32" s="117"/>
      <c r="M32" s="117"/>
      <c r="N32" s="698">
        <f t="shared" si="12"/>
        <v>5.2559999999999985E-6</v>
      </c>
      <c r="O32" s="709">
        <f t="shared" si="5"/>
        <v>1.2000000000000002E-6</v>
      </c>
      <c r="P32" s="158">
        <f>O32*8760/2000</f>
        <v>5.256000000000001E-6</v>
      </c>
      <c r="Q32" s="339">
        <f t="shared" si="7"/>
        <v>5.256000000000001E-6</v>
      </c>
    </row>
    <row r="33" spans="1:24" s="124" customFormat="1" x14ac:dyDescent="0.2">
      <c r="A33" s="961"/>
      <c r="B33" s="719" t="s">
        <v>217</v>
      </c>
      <c r="C33" s="697">
        <v>1.7999999999999999E-6</v>
      </c>
      <c r="D33" s="117"/>
      <c r="E33" s="117"/>
      <c r="F33" s="698">
        <f t="shared" si="8"/>
        <v>1.614705882352941E-7</v>
      </c>
      <c r="G33" s="692">
        <f t="shared" si="9"/>
        <v>8.9999999999999999E-8</v>
      </c>
      <c r="H33" s="117"/>
      <c r="I33" s="324"/>
      <c r="J33" s="704">
        <f t="shared" si="10"/>
        <v>8.9999999999999985E-8</v>
      </c>
      <c r="K33" s="697">
        <f t="shared" si="11"/>
        <v>3.9419999999999997E-7</v>
      </c>
      <c r="L33" s="117"/>
      <c r="M33" s="117"/>
      <c r="N33" s="698">
        <f t="shared" si="12"/>
        <v>3.9419999999999992E-7</v>
      </c>
      <c r="O33" s="709">
        <f t="shared" si="5"/>
        <v>8.9999999999999999E-8</v>
      </c>
      <c r="P33" s="158">
        <f>O33*8760/2000</f>
        <v>3.9419999999999997E-7</v>
      </c>
      <c r="Q33" s="339">
        <f t="shared" si="7"/>
        <v>3.9419999999999997E-7</v>
      </c>
    </row>
    <row r="34" spans="1:24" s="124" customFormat="1" x14ac:dyDescent="0.2">
      <c r="A34" s="961"/>
      <c r="B34" s="719" t="s">
        <v>131</v>
      </c>
      <c r="C34" s="697">
        <v>6.0999999999999997E-4</v>
      </c>
      <c r="D34" s="117">
        <v>1.1299999999999999E-3</v>
      </c>
      <c r="E34" s="117">
        <v>1.1299999999999999E-3</v>
      </c>
      <c r="F34" s="698">
        <f t="shared" si="8"/>
        <v>5.4720588235294111E-5</v>
      </c>
      <c r="G34" s="692">
        <f t="shared" si="9"/>
        <v>3.0499999999999999E-5</v>
      </c>
      <c r="H34" s="117">
        <f>D34*$B$7*$H$6</f>
        <v>4.1162815613728082E-4</v>
      </c>
      <c r="I34" s="117">
        <f>E34*$B$10</f>
        <v>4.8024999999999994E-4</v>
      </c>
      <c r="J34" s="704">
        <f t="shared" si="10"/>
        <v>3.0499999999999993E-5</v>
      </c>
      <c r="K34" s="697">
        <f t="shared" si="11"/>
        <v>1.3359E-4</v>
      </c>
      <c r="L34" s="117">
        <f>H34*8760/2000*H$6</f>
        <v>1.8029313238812901E-3</v>
      </c>
      <c r="M34" s="117">
        <f>I34*8760/2000*H$6</f>
        <v>2.1034949999999995E-3</v>
      </c>
      <c r="N34" s="698">
        <f t="shared" si="12"/>
        <v>1.3358999999999995E-4</v>
      </c>
      <c r="O34" s="709">
        <f t="shared" si="5"/>
        <v>4.8024999999999994E-4</v>
      </c>
      <c r="P34" s="158">
        <f t="shared" ref="P34:P35" si="13">O34*8760/2000</f>
        <v>2.1034949999999995E-3</v>
      </c>
      <c r="Q34" s="339">
        <f t="shared" si="7"/>
        <v>2.1034949999999995E-3</v>
      </c>
    </row>
    <row r="35" spans="1:24" s="124" customFormat="1" x14ac:dyDescent="0.2">
      <c r="A35" s="961"/>
      <c r="B35" s="719" t="s">
        <v>132</v>
      </c>
      <c r="C35" s="697">
        <v>1.7E-5</v>
      </c>
      <c r="D35" s="117">
        <v>1.0499999999999999E-5</v>
      </c>
      <c r="E35" s="117">
        <v>1.0499999999999999E-5</v>
      </c>
      <c r="F35" s="698">
        <f t="shared" si="8"/>
        <v>1.525E-6</v>
      </c>
      <c r="G35" s="692">
        <f t="shared" si="9"/>
        <v>8.5000000000000001E-7</v>
      </c>
      <c r="H35" s="117">
        <f>D35*$B$7*$H$6</f>
        <v>3.8248633977357952E-6</v>
      </c>
      <c r="I35" s="117">
        <f>E35*$B$10</f>
        <v>4.4625E-6</v>
      </c>
      <c r="J35" s="704">
        <f t="shared" si="10"/>
        <v>8.4999999999999991E-7</v>
      </c>
      <c r="K35" s="697">
        <f t="shared" si="11"/>
        <v>3.7230000000000002E-6</v>
      </c>
      <c r="L35" s="117">
        <f>H35*8760/2000*H$6</f>
        <v>1.6752901682082784E-5</v>
      </c>
      <c r="M35" s="117">
        <f>I35*8760/2000*H$6</f>
        <v>1.9545750000000002E-5</v>
      </c>
      <c r="N35" s="698">
        <f t="shared" si="12"/>
        <v>3.7229999999999998E-6</v>
      </c>
      <c r="O35" s="709">
        <f t="shared" si="5"/>
        <v>4.4625E-6</v>
      </c>
      <c r="P35" s="158">
        <f t="shared" si="13"/>
        <v>1.9545750000000002E-5</v>
      </c>
      <c r="Q35" s="339">
        <f t="shared" si="7"/>
        <v>1.9545750000000002E-5</v>
      </c>
    </row>
    <row r="36" spans="1:24" s="124" customFormat="1" x14ac:dyDescent="0.2">
      <c r="A36" s="961"/>
      <c r="B36" s="719" t="s">
        <v>242</v>
      </c>
      <c r="C36" s="697"/>
      <c r="D36" s="117"/>
      <c r="E36" s="117"/>
      <c r="F36" s="698"/>
      <c r="G36" s="692"/>
      <c r="H36" s="117"/>
      <c r="I36" s="324"/>
      <c r="J36" s="704"/>
      <c r="K36" s="697"/>
      <c r="L36" s="117"/>
      <c r="M36" s="117"/>
      <c r="N36" s="698"/>
      <c r="O36" s="709"/>
      <c r="P36" s="158"/>
      <c r="Q36" s="339"/>
    </row>
    <row r="37" spans="1:24" s="124" customFormat="1" x14ac:dyDescent="0.2">
      <c r="A37" s="961"/>
      <c r="B37" s="719" t="s">
        <v>133</v>
      </c>
      <c r="C37" s="697">
        <v>5.0000000000000004E-6</v>
      </c>
      <c r="D37" s="117">
        <v>4.25E-6</v>
      </c>
      <c r="E37" s="117">
        <v>4.25E-6</v>
      </c>
      <c r="F37" s="698">
        <f>C37/$H$8*$H$11*1000</f>
        <v>4.4852941176470594E-7</v>
      </c>
      <c r="G37" s="692">
        <f>C37*$B$8</f>
        <v>2.5000000000000004E-7</v>
      </c>
      <c r="H37" s="117">
        <f t="shared" ref="H37:H44" si="14">D37*$B$7*$H$6</f>
        <v>1.5481589943216315E-6</v>
      </c>
      <c r="I37" s="117">
        <f t="shared" ref="I37:I44" si="15">E37*$B$10</f>
        <v>1.8062499999999999E-6</v>
      </c>
      <c r="J37" s="704">
        <f>F37*$B$11</f>
        <v>2.4999999999999999E-7</v>
      </c>
      <c r="K37" s="697">
        <f>G37*8760/2000</f>
        <v>1.0950000000000003E-6</v>
      </c>
      <c r="L37" s="117">
        <f t="shared" ref="L37:L44" si="16">H37*8760/2000*H$6</f>
        <v>6.7809363951287462E-6</v>
      </c>
      <c r="M37" s="117">
        <f t="shared" ref="M37:M44" si="17">I37*8760/2000*H$6</f>
        <v>7.9113750000000001E-6</v>
      </c>
      <c r="N37" s="698">
        <f>J37*8760/2000*H$6</f>
        <v>1.0950000000000001E-6</v>
      </c>
      <c r="O37" s="709">
        <f>MAX(G37:J37)</f>
        <v>1.8062499999999999E-6</v>
      </c>
      <c r="P37" s="158">
        <f t="shared" ref="P37:P38" si="18">O37*8760/2000</f>
        <v>7.9113750000000001E-6</v>
      </c>
      <c r="Q37" s="339">
        <f t="shared" si="7"/>
        <v>7.9113750000000001E-6</v>
      </c>
    </row>
    <row r="38" spans="1:24" s="124" customFormat="1" x14ac:dyDescent="0.2">
      <c r="A38" s="961"/>
      <c r="B38" s="719" t="s">
        <v>134</v>
      </c>
      <c r="C38" s="697">
        <v>3.3999999999999998E-3</v>
      </c>
      <c r="D38" s="117">
        <v>6.1999999999999998E-3</v>
      </c>
      <c r="E38" s="117">
        <v>6.1999999999999998E-3</v>
      </c>
      <c r="F38" s="698">
        <f>C38/$H$8*$H$11*1000</f>
        <v>3.0499999999999999E-4</v>
      </c>
      <c r="G38" s="692">
        <f>C38*$B$8</f>
        <v>1.7000000000000001E-4</v>
      </c>
      <c r="H38" s="117">
        <f t="shared" si="14"/>
        <v>2.2584907681868507E-3</v>
      </c>
      <c r="I38" s="117">
        <f t="shared" si="15"/>
        <v>2.6349999999999998E-3</v>
      </c>
      <c r="J38" s="704">
        <f>F38*$B$11</f>
        <v>1.6999999999999999E-4</v>
      </c>
      <c r="K38" s="697">
        <f>G38*8760/2000</f>
        <v>7.4459999999999999E-4</v>
      </c>
      <c r="L38" s="117">
        <f t="shared" si="16"/>
        <v>9.892189564658406E-3</v>
      </c>
      <c r="M38" s="117">
        <f t="shared" si="17"/>
        <v>1.1541299999999999E-2</v>
      </c>
      <c r="N38" s="698">
        <f>J38*8760/2000*H$6</f>
        <v>7.4459999999999988E-4</v>
      </c>
      <c r="O38" s="709">
        <f t="shared" ref="O38:O63" si="19">MAX(G38:J38)</f>
        <v>2.6349999999999998E-3</v>
      </c>
      <c r="P38" s="158">
        <f t="shared" si="18"/>
        <v>1.1541299999999999E-2</v>
      </c>
      <c r="Q38" s="339">
        <f t="shared" si="7"/>
        <v>1.1541299999999999E-2</v>
      </c>
    </row>
    <row r="39" spans="1:24" s="124" customFormat="1" x14ac:dyDescent="0.2">
      <c r="A39" s="961"/>
      <c r="B39" s="719" t="s">
        <v>240</v>
      </c>
      <c r="C39" s="697"/>
      <c r="D39" s="117">
        <v>2.3599999999999999E-4</v>
      </c>
      <c r="E39" s="117">
        <v>2.3599999999999999E-4</v>
      </c>
      <c r="F39" s="698"/>
      <c r="G39" s="692"/>
      <c r="H39" s="117">
        <f t="shared" si="14"/>
        <v>8.5968358272918834E-5</v>
      </c>
      <c r="I39" s="117">
        <f t="shared" si="15"/>
        <v>1.003E-4</v>
      </c>
      <c r="J39" s="704"/>
      <c r="K39" s="697"/>
      <c r="L39" s="117">
        <f t="shared" si="16"/>
        <v>3.765414092353845E-4</v>
      </c>
      <c r="M39" s="117">
        <f t="shared" si="17"/>
        <v>4.39314E-4</v>
      </c>
      <c r="N39" s="698"/>
      <c r="O39" s="709">
        <f t="shared" si="19"/>
        <v>1.003E-4</v>
      </c>
      <c r="P39" s="158">
        <f>O39*8760/2000</f>
        <v>4.39314E-4</v>
      </c>
      <c r="Q39" s="339">
        <f t="shared" si="7"/>
        <v>4.39314E-4</v>
      </c>
    </row>
    <row r="40" spans="1:24" s="124" customFormat="1" x14ac:dyDescent="0.2">
      <c r="A40" s="961"/>
      <c r="B40" s="719" t="s">
        <v>135</v>
      </c>
      <c r="C40" s="697"/>
      <c r="D40" s="117">
        <v>1.0900000000000001E-4</v>
      </c>
      <c r="E40" s="117">
        <v>1.0900000000000001E-4</v>
      </c>
      <c r="F40" s="698"/>
      <c r="G40" s="692"/>
      <c r="H40" s="117">
        <f t="shared" si="14"/>
        <v>3.9705724795543021E-5</v>
      </c>
      <c r="I40" s="117">
        <f t="shared" si="15"/>
        <v>4.6325000000000001E-5</v>
      </c>
      <c r="J40" s="704"/>
      <c r="K40" s="697"/>
      <c r="L40" s="117">
        <f t="shared" si="16"/>
        <v>1.7391107460447845E-4</v>
      </c>
      <c r="M40" s="117">
        <f t="shared" si="17"/>
        <v>2.0290350000000003E-4</v>
      </c>
      <c r="N40" s="698"/>
      <c r="O40" s="709">
        <f t="shared" si="19"/>
        <v>4.6325000000000001E-5</v>
      </c>
      <c r="P40" s="158">
        <f t="shared" ref="P40:P48" si="20">O40*8760/2000</f>
        <v>2.0290350000000003E-4</v>
      </c>
      <c r="Q40" s="339">
        <f t="shared" si="7"/>
        <v>2.0290350000000003E-4</v>
      </c>
    </row>
    <row r="41" spans="1:24" s="124" customFormat="1" x14ac:dyDescent="0.2">
      <c r="A41" s="961"/>
      <c r="B41" s="719" t="s">
        <v>137</v>
      </c>
      <c r="C41" s="697">
        <v>2.0000000000000001E-4</v>
      </c>
      <c r="D41" s="117">
        <f>(0.000004)*$H$7/1000</f>
        <v>5.6002E-10</v>
      </c>
      <c r="E41" s="117">
        <f>(0.000004)*$H$7/1000</f>
        <v>5.6002E-10</v>
      </c>
      <c r="F41" s="698">
        <f t="shared" ref="F41:F49" si="21">C41/$H$8*$H$11*1000</f>
        <v>1.7941176470588237E-5</v>
      </c>
      <c r="G41" s="692">
        <f t="shared" ref="G41:G49" si="22">C41*$B$8</f>
        <v>1.0000000000000001E-5</v>
      </c>
      <c r="H41" s="117">
        <f t="shared" si="14"/>
        <v>2.0400000000000002E-10</v>
      </c>
      <c r="I41" s="117">
        <f>E41*$B$10</f>
        <v>2.3800849999999997E-10</v>
      </c>
      <c r="J41" s="704">
        <f t="shared" ref="J41:J49" si="23">F41*$B$11</f>
        <v>1.0000000000000001E-5</v>
      </c>
      <c r="K41" s="697">
        <f t="shared" ref="K41:K65" si="24">G41*8760/2000</f>
        <v>4.3800000000000008E-5</v>
      </c>
      <c r="L41" s="117">
        <f t="shared" si="16"/>
        <v>8.9352000000000014E-10</v>
      </c>
      <c r="M41" s="117">
        <f>I41*8760/2000*H$6</f>
        <v>1.04247723E-9</v>
      </c>
      <c r="N41" s="698">
        <f t="shared" ref="N41:N59" si="25">J41*8760/2000*H$6</f>
        <v>4.3800000000000008E-5</v>
      </c>
      <c r="O41" s="709">
        <f t="shared" si="19"/>
        <v>1.0000000000000001E-5</v>
      </c>
      <c r="P41" s="158">
        <f t="shared" si="20"/>
        <v>4.3800000000000008E-5</v>
      </c>
      <c r="Q41" s="339">
        <f t="shared" si="7"/>
        <v>4.3800000000000008E-5</v>
      </c>
      <c r="X41" s="150"/>
    </row>
    <row r="42" spans="1:24" s="124" customFormat="1" x14ac:dyDescent="0.2">
      <c r="A42" s="961"/>
      <c r="B42" s="687" t="s">
        <v>138</v>
      </c>
      <c r="C42" s="697">
        <v>1.2E-5</v>
      </c>
      <c r="D42" s="117">
        <f t="shared" ref="D42:E44" si="26">(0.000003)*$H$7/1000</f>
        <v>4.2001499999999997E-10</v>
      </c>
      <c r="E42" s="117">
        <f t="shared" si="26"/>
        <v>4.2001499999999997E-10</v>
      </c>
      <c r="F42" s="698">
        <f t="shared" si="21"/>
        <v>1.0764705882352939E-6</v>
      </c>
      <c r="G42" s="692">
        <f t="shared" si="22"/>
        <v>6.0000000000000008E-7</v>
      </c>
      <c r="H42" s="117">
        <f t="shared" si="14"/>
        <v>1.5300000000000001E-10</v>
      </c>
      <c r="I42" s="117">
        <f t="shared" si="15"/>
        <v>1.7850637499999999E-10</v>
      </c>
      <c r="J42" s="704">
        <f t="shared" si="23"/>
        <v>5.9999999999999987E-7</v>
      </c>
      <c r="K42" s="697">
        <f t="shared" si="24"/>
        <v>2.6280000000000005E-6</v>
      </c>
      <c r="L42" s="117">
        <f t="shared" si="16"/>
        <v>6.7014000000000013E-10</v>
      </c>
      <c r="M42" s="117">
        <f t="shared" si="17"/>
        <v>7.8185792249999992E-10</v>
      </c>
      <c r="N42" s="698">
        <f t="shared" si="25"/>
        <v>2.6279999999999992E-6</v>
      </c>
      <c r="O42" s="709">
        <f t="shared" si="19"/>
        <v>6.0000000000000008E-7</v>
      </c>
      <c r="P42" s="158">
        <f t="shared" si="20"/>
        <v>2.6280000000000005E-6</v>
      </c>
      <c r="Q42" s="339">
        <f t="shared" si="7"/>
        <v>2.6280000000000005E-6</v>
      </c>
      <c r="X42" s="150"/>
    </row>
    <row r="43" spans="1:24" s="124" customFormat="1" x14ac:dyDescent="0.2">
      <c r="A43" s="961"/>
      <c r="B43" s="687" t="s">
        <v>139</v>
      </c>
      <c r="C43" s="697">
        <v>1.1000000000000001E-3</v>
      </c>
      <c r="D43" s="117">
        <f t="shared" si="26"/>
        <v>4.2001499999999997E-10</v>
      </c>
      <c r="E43" s="117">
        <f t="shared" si="26"/>
        <v>4.2001499999999997E-10</v>
      </c>
      <c r="F43" s="698">
        <f t="shared" si="21"/>
        <v>9.8676470588235292E-5</v>
      </c>
      <c r="G43" s="692">
        <f t="shared" si="22"/>
        <v>5.5000000000000009E-5</v>
      </c>
      <c r="H43" s="117">
        <f t="shared" si="14"/>
        <v>1.5300000000000001E-10</v>
      </c>
      <c r="I43" s="117">
        <f t="shared" si="15"/>
        <v>1.7850637499999999E-10</v>
      </c>
      <c r="J43" s="704">
        <f t="shared" si="23"/>
        <v>5.4999999999999995E-5</v>
      </c>
      <c r="K43" s="697">
        <f t="shared" si="24"/>
        <v>2.4090000000000003E-4</v>
      </c>
      <c r="L43" s="117">
        <f t="shared" si="16"/>
        <v>6.7014000000000013E-10</v>
      </c>
      <c r="M43" s="117">
        <f t="shared" si="17"/>
        <v>7.8185792249999992E-10</v>
      </c>
      <c r="N43" s="698">
        <f t="shared" si="25"/>
        <v>2.4089999999999997E-4</v>
      </c>
      <c r="O43" s="709">
        <f t="shared" si="19"/>
        <v>5.5000000000000009E-5</v>
      </c>
      <c r="P43" s="158">
        <f t="shared" si="20"/>
        <v>2.4090000000000003E-4</v>
      </c>
      <c r="Q43" s="339">
        <f t="shared" si="7"/>
        <v>2.4090000000000003E-4</v>
      </c>
      <c r="X43" s="150"/>
    </row>
    <row r="44" spans="1:24" s="124" customFormat="1" x14ac:dyDescent="0.2">
      <c r="A44" s="961"/>
      <c r="B44" s="687" t="s">
        <v>140</v>
      </c>
      <c r="C44" s="697">
        <v>1.4E-3</v>
      </c>
      <c r="D44" s="117">
        <f t="shared" si="26"/>
        <v>4.2001499999999997E-10</v>
      </c>
      <c r="E44" s="117">
        <f t="shared" si="26"/>
        <v>4.2001499999999997E-10</v>
      </c>
      <c r="F44" s="698">
        <f t="shared" si="21"/>
        <v>1.2558823529411765E-4</v>
      </c>
      <c r="G44" s="692">
        <f t="shared" si="22"/>
        <v>7.0000000000000007E-5</v>
      </c>
      <c r="H44" s="117">
        <f t="shared" si="14"/>
        <v>1.5300000000000001E-10</v>
      </c>
      <c r="I44" s="117">
        <f t="shared" si="15"/>
        <v>1.7850637499999999E-10</v>
      </c>
      <c r="J44" s="704">
        <f t="shared" si="23"/>
        <v>6.9999999999999994E-5</v>
      </c>
      <c r="K44" s="697">
        <f t="shared" si="24"/>
        <v>3.0660000000000003E-4</v>
      </c>
      <c r="L44" s="117">
        <f t="shared" si="16"/>
        <v>6.7014000000000013E-10</v>
      </c>
      <c r="M44" s="117">
        <f t="shared" si="17"/>
        <v>7.8185792249999992E-10</v>
      </c>
      <c r="N44" s="698">
        <f t="shared" si="25"/>
        <v>3.0659999999999997E-4</v>
      </c>
      <c r="O44" s="709">
        <f t="shared" si="19"/>
        <v>7.0000000000000007E-5</v>
      </c>
      <c r="P44" s="158">
        <f t="shared" si="20"/>
        <v>3.0660000000000003E-4</v>
      </c>
      <c r="Q44" s="339">
        <f t="shared" si="7"/>
        <v>3.0660000000000003E-4</v>
      </c>
      <c r="X44" s="150"/>
    </row>
    <row r="45" spans="1:24" s="124" customFormat="1" x14ac:dyDescent="0.2">
      <c r="A45" s="961"/>
      <c r="B45" s="687" t="s">
        <v>141</v>
      </c>
      <c r="C45" s="697">
        <v>8.3999999999999995E-5</v>
      </c>
      <c r="D45" s="117"/>
      <c r="E45" s="117"/>
      <c r="F45" s="698">
        <f t="shared" si="21"/>
        <v>7.535294117647058E-6</v>
      </c>
      <c r="G45" s="692">
        <f t="shared" si="22"/>
        <v>4.1999999999999996E-6</v>
      </c>
      <c r="H45" s="117"/>
      <c r="I45" s="324"/>
      <c r="J45" s="704">
        <f t="shared" si="23"/>
        <v>4.1999999999999996E-6</v>
      </c>
      <c r="K45" s="697">
        <f t="shared" si="24"/>
        <v>1.8395999999999998E-5</v>
      </c>
      <c r="L45" s="117"/>
      <c r="M45" s="117"/>
      <c r="N45" s="698">
        <f t="shared" si="25"/>
        <v>1.8395999999999998E-5</v>
      </c>
      <c r="O45" s="709">
        <f t="shared" si="19"/>
        <v>4.1999999999999996E-6</v>
      </c>
      <c r="P45" s="158">
        <f t="shared" si="20"/>
        <v>1.8395999999999998E-5</v>
      </c>
      <c r="Q45" s="339">
        <f t="shared" si="7"/>
        <v>1.8395999999999998E-5</v>
      </c>
      <c r="X45" s="150"/>
    </row>
    <row r="46" spans="1:24" s="124" customFormat="1" x14ac:dyDescent="0.2">
      <c r="A46" s="961"/>
      <c r="B46" s="687" t="s">
        <v>142</v>
      </c>
      <c r="C46" s="697">
        <v>3.8000000000000002E-4</v>
      </c>
      <c r="D46" s="117">
        <f>(0.000006)*$H$7/1000</f>
        <v>8.4002999999999994E-10</v>
      </c>
      <c r="E46" s="117">
        <f>(0.000006)*$H$7/1000</f>
        <v>8.4002999999999994E-10</v>
      </c>
      <c r="F46" s="698">
        <f t="shared" si="21"/>
        <v>3.4088235294117648E-5</v>
      </c>
      <c r="G46" s="692">
        <f t="shared" si="22"/>
        <v>1.9000000000000001E-5</v>
      </c>
      <c r="H46" s="117">
        <f>D46*$B$7*$H$6</f>
        <v>3.0600000000000003E-10</v>
      </c>
      <c r="I46" s="117">
        <f>E46*$B$10</f>
        <v>3.5701274999999999E-10</v>
      </c>
      <c r="J46" s="704">
        <f t="shared" si="23"/>
        <v>1.8999999999999998E-5</v>
      </c>
      <c r="K46" s="697">
        <f t="shared" si="24"/>
        <v>8.3220000000000006E-5</v>
      </c>
      <c r="L46" s="117">
        <f t="shared" ref="L46:L59" si="27">H46*8760/2000*H$6</f>
        <v>1.3402800000000003E-9</v>
      </c>
      <c r="M46" s="117">
        <f t="shared" ref="M46:M58" si="28">I46*8760/2000*H$6</f>
        <v>1.5637158449999998E-9</v>
      </c>
      <c r="N46" s="698">
        <f t="shared" si="25"/>
        <v>8.3219999999999993E-5</v>
      </c>
      <c r="O46" s="709">
        <f t="shared" si="19"/>
        <v>1.9000000000000001E-5</v>
      </c>
      <c r="P46" s="158">
        <f t="shared" si="20"/>
        <v>8.3220000000000006E-5</v>
      </c>
      <c r="Q46" s="339">
        <f t="shared" si="7"/>
        <v>8.3220000000000006E-5</v>
      </c>
      <c r="S46" s="119"/>
      <c r="X46" s="150"/>
    </row>
    <row r="47" spans="1:24" s="124" customFormat="1" x14ac:dyDescent="0.2">
      <c r="A47" s="961"/>
      <c r="B47" s="687" t="s">
        <v>143</v>
      </c>
      <c r="C47" s="699">
        <v>2.5999999999999998E-4</v>
      </c>
      <c r="D47" s="117">
        <f>(0.000003)*$H$7/1000</f>
        <v>4.2001499999999997E-10</v>
      </c>
      <c r="E47" s="117">
        <f>(0.000003)*$H$7/1000</f>
        <v>4.2001499999999997E-10</v>
      </c>
      <c r="F47" s="698">
        <f t="shared" si="21"/>
        <v>2.3323529411764705E-5</v>
      </c>
      <c r="G47" s="692">
        <f t="shared" si="22"/>
        <v>1.2999999999999999E-5</v>
      </c>
      <c r="H47" s="117">
        <f>D47*$B$7*$H$6</f>
        <v>1.5300000000000001E-10</v>
      </c>
      <c r="I47" s="117">
        <f>E47*$B$10</f>
        <v>1.7850637499999999E-10</v>
      </c>
      <c r="J47" s="704">
        <f t="shared" si="23"/>
        <v>1.2999999999999999E-5</v>
      </c>
      <c r="K47" s="697">
        <f t="shared" si="24"/>
        <v>5.694E-5</v>
      </c>
      <c r="L47" s="117">
        <f t="shared" si="27"/>
        <v>6.7014000000000013E-10</v>
      </c>
      <c r="M47" s="117">
        <f t="shared" si="28"/>
        <v>7.8185792249999992E-10</v>
      </c>
      <c r="N47" s="698">
        <f t="shared" si="25"/>
        <v>5.694E-5</v>
      </c>
      <c r="O47" s="709">
        <f t="shared" si="19"/>
        <v>1.2999999999999999E-5</v>
      </c>
      <c r="P47" s="162">
        <f t="shared" si="20"/>
        <v>5.694E-5</v>
      </c>
      <c r="Q47" s="339">
        <f t="shared" si="7"/>
        <v>5.694E-5</v>
      </c>
      <c r="R47" s="151"/>
      <c r="S47" s="151"/>
      <c r="T47" s="152"/>
      <c r="U47" s="119"/>
      <c r="V47" s="119"/>
      <c r="W47" s="119"/>
      <c r="X47" s="152"/>
    </row>
    <row r="48" spans="1:24" s="124" customFormat="1" x14ac:dyDescent="0.2">
      <c r="A48" s="961"/>
      <c r="B48" s="687" t="s">
        <v>144</v>
      </c>
      <c r="C48" s="697">
        <v>2.0999999999999999E-3</v>
      </c>
      <c r="D48" s="117">
        <f>(0.000003)*$H$7/1000</f>
        <v>4.2001499999999997E-10</v>
      </c>
      <c r="E48" s="117">
        <f>(0.000003)*$H$7/1000</f>
        <v>4.2001499999999997E-10</v>
      </c>
      <c r="F48" s="698">
        <f t="shared" si="21"/>
        <v>1.8838235294117646E-4</v>
      </c>
      <c r="G48" s="692">
        <f t="shared" si="22"/>
        <v>1.05E-4</v>
      </c>
      <c r="H48" s="117">
        <f>D48*$B$7*$H$6</f>
        <v>1.5300000000000001E-10</v>
      </c>
      <c r="I48" s="117">
        <f>E48*$B$10</f>
        <v>1.7850637499999999E-10</v>
      </c>
      <c r="J48" s="704">
        <f t="shared" si="23"/>
        <v>1.0499999999999999E-4</v>
      </c>
      <c r="K48" s="697">
        <f t="shared" si="24"/>
        <v>4.5990000000000001E-4</v>
      </c>
      <c r="L48" s="117">
        <f t="shared" si="27"/>
        <v>6.7014000000000013E-10</v>
      </c>
      <c r="M48" s="117">
        <f t="shared" si="28"/>
        <v>7.8185792249999992E-10</v>
      </c>
      <c r="N48" s="698">
        <f t="shared" si="25"/>
        <v>4.5989999999999996E-4</v>
      </c>
      <c r="O48" s="709">
        <f t="shared" si="19"/>
        <v>1.05E-4</v>
      </c>
      <c r="P48" s="158">
        <f t="shared" si="20"/>
        <v>4.5990000000000001E-4</v>
      </c>
      <c r="Q48" s="339">
        <f t="shared" si="7"/>
        <v>4.5990000000000001E-4</v>
      </c>
      <c r="V48" s="119"/>
      <c r="W48" s="119"/>
      <c r="X48" s="155"/>
    </row>
    <row r="49" spans="1:24" s="124" customFormat="1" x14ac:dyDescent="0.2">
      <c r="A49" s="961"/>
      <c r="B49" s="687" t="s">
        <v>145</v>
      </c>
      <c r="C49" s="697">
        <v>2.4000000000000001E-5</v>
      </c>
      <c r="D49" s="117">
        <f>(0.000015)*$H$7/1000</f>
        <v>2.1000750000000001E-9</v>
      </c>
      <c r="E49" s="117">
        <f>(0.000015)*$H$7/1000</f>
        <v>2.1000750000000001E-9</v>
      </c>
      <c r="F49" s="698">
        <f t="shared" si="21"/>
        <v>2.1529411764705878E-6</v>
      </c>
      <c r="G49" s="692">
        <f t="shared" si="22"/>
        <v>1.2000000000000002E-6</v>
      </c>
      <c r="H49" s="117">
        <f>D49*$B$7*$H$6</f>
        <v>7.6500000000000015E-10</v>
      </c>
      <c r="I49" s="117">
        <f>E49*$B$10</f>
        <v>8.92531875E-10</v>
      </c>
      <c r="J49" s="704">
        <f t="shared" si="23"/>
        <v>1.1999999999999997E-6</v>
      </c>
      <c r="K49" s="697">
        <f t="shared" si="24"/>
        <v>5.256000000000001E-6</v>
      </c>
      <c r="L49" s="117">
        <f t="shared" si="27"/>
        <v>3.3507000000000008E-9</v>
      </c>
      <c r="M49" s="117">
        <f t="shared" si="28"/>
        <v>3.9092896125000003E-9</v>
      </c>
      <c r="N49" s="698">
        <f t="shared" si="25"/>
        <v>5.2559999999999985E-6</v>
      </c>
      <c r="O49" s="709">
        <f t="shared" si="19"/>
        <v>1.2000000000000002E-6</v>
      </c>
      <c r="P49" s="158">
        <f>O49*8760/2000</f>
        <v>5.256000000000001E-6</v>
      </c>
      <c r="Q49" s="339">
        <f t="shared" si="7"/>
        <v>5.256000000000001E-6</v>
      </c>
      <c r="X49" s="155"/>
    </row>
    <row r="50" spans="1:24" s="124" customFormat="1" x14ac:dyDescent="0.2">
      <c r="A50" s="961"/>
      <c r="B50" s="689" t="s">
        <v>146</v>
      </c>
      <c r="C50" s="697"/>
      <c r="D50" s="117"/>
      <c r="E50" s="117"/>
      <c r="F50" s="700"/>
      <c r="G50" s="167">
        <f>SUM(G13:G49)</f>
        <v>9.4457849999999996E-2</v>
      </c>
      <c r="H50" s="107">
        <f>SUM(H13:H49)</f>
        <v>1.4940520614336632E-2</v>
      </c>
      <c r="I50" s="107">
        <f>SUM(I13:I49)</f>
        <v>4.4262299050849977E-3</v>
      </c>
      <c r="J50" s="705">
        <f>SUM(J13:J49)</f>
        <v>9.4457849999999982E-2</v>
      </c>
      <c r="K50" s="660">
        <f t="shared" si="24"/>
        <v>0.41372538299999995</v>
      </c>
      <c r="L50" s="107">
        <f t="shared" si="27"/>
        <v>6.5439480290794452E-2</v>
      </c>
      <c r="M50" s="107">
        <f t="shared" si="28"/>
        <v>1.9386886984272291E-2</v>
      </c>
      <c r="N50" s="657">
        <f t="shared" si="25"/>
        <v>0.41372538299999989</v>
      </c>
      <c r="O50" s="710">
        <f t="shared" si="19"/>
        <v>9.4457849999999996E-2</v>
      </c>
      <c r="P50" s="157">
        <f>O50*8760/2000</f>
        <v>0.41372538299999995</v>
      </c>
      <c r="Q50" s="341">
        <f t="shared" si="7"/>
        <v>0.41372538299999995</v>
      </c>
      <c r="S50" s="150"/>
      <c r="X50" s="145"/>
    </row>
    <row r="51" spans="1:24" s="124" customFormat="1" x14ac:dyDescent="0.2">
      <c r="A51" s="961"/>
      <c r="B51" s="689" t="s">
        <v>147</v>
      </c>
      <c r="C51" s="697">
        <v>5.0000000000000001E-4</v>
      </c>
      <c r="D51" s="117">
        <f>(0.000009)*$H$7/1000</f>
        <v>1.2600450000000001E-9</v>
      </c>
      <c r="E51" s="117">
        <f>(0.000009)*$H$7/1000</f>
        <v>1.2600450000000001E-9</v>
      </c>
      <c r="F51" s="698">
        <f>C51/$H$8*$H$11*1000</f>
        <v>4.4852941176470591E-5</v>
      </c>
      <c r="G51" s="692">
        <f t="shared" ref="G51:G59" si="29">C51*$B$8</f>
        <v>2.5000000000000001E-5</v>
      </c>
      <c r="H51" s="117">
        <f t="shared" ref="H51:H59" si="30">D51*$B$7*$H$6</f>
        <v>4.5900000000000007E-10</v>
      </c>
      <c r="I51" s="117">
        <f t="shared" ref="I51:I58" si="31">E51*$B$10</f>
        <v>5.3551912500000006E-10</v>
      </c>
      <c r="J51" s="704">
        <f t="shared" ref="J51:J63" si="32">F51*$B$11</f>
        <v>2.4999999999999998E-5</v>
      </c>
      <c r="K51" s="697">
        <f t="shared" si="24"/>
        <v>1.0950000000000001E-4</v>
      </c>
      <c r="L51" s="117">
        <f t="shared" si="27"/>
        <v>2.0104200000000006E-9</v>
      </c>
      <c r="M51" s="117">
        <f t="shared" si="28"/>
        <v>2.3455737675000003E-9</v>
      </c>
      <c r="N51" s="698">
        <f t="shared" si="25"/>
        <v>1.0949999999999999E-4</v>
      </c>
      <c r="O51" s="709">
        <f t="shared" si="19"/>
        <v>2.5000000000000001E-5</v>
      </c>
      <c r="P51" s="158">
        <f>O51*8760/2000</f>
        <v>1.0950000000000001E-4</v>
      </c>
      <c r="Q51" s="342">
        <f t="shared" si="7"/>
        <v>1.0950000000000001E-4</v>
      </c>
      <c r="R51" s="734"/>
      <c r="V51" s="165" t="s">
        <v>310</v>
      </c>
      <c r="W51" s="150">
        <v>30</v>
      </c>
      <c r="X51" s="145"/>
    </row>
    <row r="52" spans="1:24" s="124" customFormat="1" x14ac:dyDescent="0.2">
      <c r="A52" s="961"/>
      <c r="B52" s="689" t="s">
        <v>148</v>
      </c>
      <c r="C52" s="697">
        <v>7.6</v>
      </c>
      <c r="D52" s="324">
        <f>2+1.3</f>
        <v>3.3</v>
      </c>
      <c r="E52" s="117">
        <f>'RAFVO Emission Factors'!F18</f>
        <v>1.9961013319672127</v>
      </c>
      <c r="F52" s="701">
        <v>0.7</v>
      </c>
      <c r="G52" s="167">
        <f t="shared" si="29"/>
        <v>0.38</v>
      </c>
      <c r="H52" s="107">
        <f t="shared" si="30"/>
        <v>1.2020999250026785</v>
      </c>
      <c r="I52" s="107">
        <f t="shared" si="31"/>
        <v>0.84834306608606536</v>
      </c>
      <c r="J52" s="706">
        <f t="shared" si="32"/>
        <v>0.39016393442622943</v>
      </c>
      <c r="K52" s="660">
        <f t="shared" si="24"/>
        <v>1.6644000000000001</v>
      </c>
      <c r="L52" s="107">
        <f t="shared" si="27"/>
        <v>5.2651976715117312</v>
      </c>
      <c r="M52" s="107">
        <f t="shared" si="28"/>
        <v>3.7157426294569662</v>
      </c>
      <c r="N52" s="657">
        <f t="shared" si="25"/>
        <v>1.7089180327868849</v>
      </c>
      <c r="O52" s="710">
        <f t="shared" si="19"/>
        <v>1.2020999250026785</v>
      </c>
      <c r="P52" s="157">
        <f>O52*8760/2000</f>
        <v>5.2651976715117312</v>
      </c>
      <c r="Q52" s="341">
        <f t="shared" si="7"/>
        <v>5.2651976715117312</v>
      </c>
      <c r="T52" s="150"/>
      <c r="V52" s="165" t="s">
        <v>311</v>
      </c>
      <c r="W52" s="150">
        <v>80</v>
      </c>
      <c r="X52" s="145"/>
    </row>
    <row r="53" spans="1:24" s="124" customFormat="1" ht="14.25" x14ac:dyDescent="0.25">
      <c r="A53" s="961"/>
      <c r="B53" s="689" t="s">
        <v>8</v>
      </c>
      <c r="C53" s="697">
        <v>7.6</v>
      </c>
      <c r="D53" s="324">
        <f>2*(0.5)+1.3</f>
        <v>2.2999999999999998</v>
      </c>
      <c r="E53" s="117">
        <f>'RAFVO Emission Factors'!F19</f>
        <v>1.765457004811295</v>
      </c>
      <c r="F53" s="698">
        <v>0.7</v>
      </c>
      <c r="G53" s="693">
        <f t="shared" si="29"/>
        <v>0.38</v>
      </c>
      <c r="H53" s="107">
        <f t="shared" si="30"/>
        <v>0.83782722045641234</v>
      </c>
      <c r="I53" s="107">
        <f t="shared" si="31"/>
        <v>0.75031922704480036</v>
      </c>
      <c r="J53" s="706">
        <f t="shared" si="32"/>
        <v>0.39016393442622943</v>
      </c>
      <c r="K53" s="660">
        <f t="shared" si="24"/>
        <v>1.6644000000000001</v>
      </c>
      <c r="L53" s="107">
        <f t="shared" si="27"/>
        <v>3.6696832255990861</v>
      </c>
      <c r="M53" s="107">
        <f t="shared" si="28"/>
        <v>3.2863982144562254</v>
      </c>
      <c r="N53" s="657">
        <f t="shared" si="25"/>
        <v>1.7089180327868849</v>
      </c>
      <c r="O53" s="710">
        <f t="shared" si="19"/>
        <v>0.83782722045641234</v>
      </c>
      <c r="P53" s="157">
        <f t="shared" ref="P53:P56" si="33">O53*8760/2000</f>
        <v>3.6696832255990861</v>
      </c>
      <c r="Q53" s="341">
        <f t="shared" si="7"/>
        <v>3.6696832255990861</v>
      </c>
      <c r="T53" s="150"/>
      <c r="V53" s="165"/>
      <c r="W53" s="150">
        <v>20.9</v>
      </c>
      <c r="X53" s="145"/>
    </row>
    <row r="54" spans="1:24" s="124" customFormat="1" ht="14.25" x14ac:dyDescent="0.25">
      <c r="A54" s="961"/>
      <c r="B54" s="689" t="s">
        <v>7</v>
      </c>
      <c r="C54" s="697">
        <v>7.6</v>
      </c>
      <c r="D54" s="324">
        <f>2*(0.12)+1.3</f>
        <v>1.54</v>
      </c>
      <c r="E54" s="117">
        <f>'RAFVO Emission Factors'!F20</f>
        <v>1.2726272459311279</v>
      </c>
      <c r="F54" s="698">
        <v>0.7</v>
      </c>
      <c r="G54" s="693">
        <f t="shared" si="29"/>
        <v>0.38</v>
      </c>
      <c r="H54" s="107">
        <f>D54*$B$7*$H$6</f>
        <v>0.56097996500125002</v>
      </c>
      <c r="I54" s="107">
        <f t="shared" si="31"/>
        <v>0.54086657952072936</v>
      </c>
      <c r="J54" s="706">
        <f t="shared" si="32"/>
        <v>0.39016393442622943</v>
      </c>
      <c r="K54" s="660">
        <f t="shared" si="24"/>
        <v>1.6644000000000001</v>
      </c>
      <c r="L54" s="107">
        <f t="shared" si="27"/>
        <v>2.457092246705475</v>
      </c>
      <c r="M54" s="107">
        <f t="shared" si="28"/>
        <v>2.368995618300795</v>
      </c>
      <c r="N54" s="657">
        <f t="shared" si="25"/>
        <v>1.7089180327868849</v>
      </c>
      <c r="O54" s="710">
        <f t="shared" si="19"/>
        <v>0.56097996500125002</v>
      </c>
      <c r="P54" s="157">
        <f t="shared" si="33"/>
        <v>2.457092246705475</v>
      </c>
      <c r="Q54" s="341">
        <f t="shared" si="7"/>
        <v>2.457092246705475</v>
      </c>
      <c r="T54" s="150"/>
      <c r="U54" s="424"/>
      <c r="W54" s="150">
        <v>3</v>
      </c>
      <c r="X54" s="145"/>
    </row>
    <row r="55" spans="1:24" s="124" customFormat="1" ht="14.25" x14ac:dyDescent="0.25">
      <c r="A55" s="961"/>
      <c r="B55" s="689" t="s">
        <v>220</v>
      </c>
      <c r="C55" s="697">
        <v>0.6</v>
      </c>
      <c r="D55" s="117">
        <f>142*L7</f>
        <v>7.1000000000000005</v>
      </c>
      <c r="E55" s="117">
        <f>150*L10</f>
        <v>15</v>
      </c>
      <c r="F55" s="701">
        <f>0.1*L11</f>
        <v>1.5</v>
      </c>
      <c r="G55" s="167">
        <f t="shared" si="29"/>
        <v>0.03</v>
      </c>
      <c r="H55" s="107">
        <f t="shared" si="30"/>
        <v>2.5863362022784906</v>
      </c>
      <c r="I55" s="107">
        <f t="shared" si="31"/>
        <v>6.375</v>
      </c>
      <c r="J55" s="706">
        <f t="shared" si="32"/>
        <v>0.83606557377049173</v>
      </c>
      <c r="K55" s="714">
        <f t="shared" si="24"/>
        <v>0.13140000000000002</v>
      </c>
      <c r="L55" s="335">
        <f t="shared" si="27"/>
        <v>11.328152565979789</v>
      </c>
      <c r="M55" s="335">
        <f t="shared" si="28"/>
        <v>27.922499999999999</v>
      </c>
      <c r="N55" s="657">
        <f t="shared" si="25"/>
        <v>3.6619672131147536</v>
      </c>
      <c r="O55" s="710">
        <f t="shared" si="19"/>
        <v>6.375</v>
      </c>
      <c r="P55" s="161">
        <f t="shared" si="33"/>
        <v>27.922499999999999</v>
      </c>
      <c r="Q55" s="341">
        <f t="shared" si="7"/>
        <v>27.922499999999999</v>
      </c>
      <c r="V55" s="165" t="s">
        <v>312</v>
      </c>
      <c r="W55" s="150">
        <v>8710</v>
      </c>
      <c r="X55" s="145"/>
    </row>
    <row r="56" spans="1:24" s="124" customFormat="1" x14ac:dyDescent="0.2">
      <c r="A56" s="961"/>
      <c r="B56" s="689" t="s">
        <v>152</v>
      </c>
      <c r="C56" s="697">
        <f>30*0.0000001194*8710*(20.9/(20.9-3))*H8</f>
        <v>37.156702344134075</v>
      </c>
      <c r="D56" s="117">
        <f>80*0.0000001194*9190*(20.9/(20.9-3))*H7*1000</f>
        <v>14.349825708992176</v>
      </c>
      <c r="E56" s="117">
        <f>80*0.0000001194*9190*(20.9/(20.9-3))*H10*1000</f>
        <v>12.299411343016757</v>
      </c>
      <c r="F56" s="698">
        <f>30*0.0000001194*8710*(20.9/(20.9-3))*H11*1000</f>
        <v>3.3331747691061446</v>
      </c>
      <c r="G56" s="167">
        <f t="shared" si="29"/>
        <v>1.8578351172067038</v>
      </c>
      <c r="H56" s="107">
        <f t="shared" si="30"/>
        <v>5.2272498207821227</v>
      </c>
      <c r="I56" s="107">
        <f t="shared" si="31"/>
        <v>5.2272498207821219</v>
      </c>
      <c r="J56" s="706">
        <f t="shared" si="32"/>
        <v>1.8578351172067034</v>
      </c>
      <c r="K56" s="714">
        <f t="shared" si="24"/>
        <v>8.1373178133653621</v>
      </c>
      <c r="L56" s="335">
        <f t="shared" si="27"/>
        <v>22.895354215025698</v>
      </c>
      <c r="M56" s="335">
        <f t="shared" si="28"/>
        <v>22.895354215025694</v>
      </c>
      <c r="N56" s="657">
        <f t="shared" si="25"/>
        <v>8.1373178133653603</v>
      </c>
      <c r="O56" s="710">
        <f t="shared" si="19"/>
        <v>5.2272498207821227</v>
      </c>
      <c r="P56" s="161">
        <f t="shared" si="33"/>
        <v>22.895354215025698</v>
      </c>
      <c r="Q56" s="341">
        <f t="shared" si="7"/>
        <v>22.895354215025698</v>
      </c>
      <c r="V56" s="165" t="s">
        <v>313</v>
      </c>
      <c r="W56" s="150">
        <v>9190</v>
      </c>
      <c r="X56" s="146"/>
    </row>
    <row r="57" spans="1:24" s="124" customFormat="1" x14ac:dyDescent="0.2">
      <c r="A57" s="961"/>
      <c r="B57" s="689" t="s">
        <v>6</v>
      </c>
      <c r="C57" s="697">
        <v>5.5</v>
      </c>
      <c r="D57" s="117">
        <v>0.2</v>
      </c>
      <c r="E57" s="117">
        <f>'RAFVO Emission Factors'!F23</f>
        <v>2.0302536937958401E-2</v>
      </c>
      <c r="F57" s="698">
        <f>1-0.2</f>
        <v>0.8</v>
      </c>
      <c r="G57" s="167">
        <f t="shared" si="29"/>
        <v>0.27500000000000002</v>
      </c>
      <c r="H57" s="107">
        <f t="shared" si="30"/>
        <v>7.2854540909253251E-2</v>
      </c>
      <c r="I57" s="107">
        <f t="shared" si="31"/>
        <v>8.6285781986323203E-3</v>
      </c>
      <c r="J57" s="706">
        <f t="shared" si="32"/>
        <v>0.4459016393442623</v>
      </c>
      <c r="K57" s="714">
        <f t="shared" si="24"/>
        <v>1.2044999999999999</v>
      </c>
      <c r="L57" s="335">
        <f t="shared" si="27"/>
        <v>0.31910288918252921</v>
      </c>
      <c r="M57" s="335">
        <f t="shared" si="28"/>
        <v>3.7793172510009562E-2</v>
      </c>
      <c r="N57" s="657">
        <f t="shared" si="25"/>
        <v>1.9530491803278689</v>
      </c>
      <c r="O57" s="710">
        <f t="shared" si="19"/>
        <v>0.4459016393442623</v>
      </c>
      <c r="P57" s="161">
        <f>O57*8760/2000</f>
        <v>1.9530491803278689</v>
      </c>
      <c r="Q57" s="341">
        <f t="shared" si="7"/>
        <v>1.9530491803278689</v>
      </c>
      <c r="V57" s="165" t="s">
        <v>581</v>
      </c>
      <c r="W57" s="432">
        <v>1.194E-7</v>
      </c>
      <c r="X57" s="145"/>
    </row>
    <row r="58" spans="1:24" s="124" customFormat="1" x14ac:dyDescent="0.2">
      <c r="A58" s="961"/>
      <c r="B58" s="689" t="s">
        <v>189</v>
      </c>
      <c r="C58" s="697">
        <v>84</v>
      </c>
      <c r="D58" s="120">
        <v>5</v>
      </c>
      <c r="E58" s="120">
        <f>'RAFVO Emission Factors'!F21</f>
        <v>5.8471306381320201</v>
      </c>
      <c r="F58" s="698">
        <v>7.5</v>
      </c>
      <c r="G58" s="167">
        <f t="shared" si="29"/>
        <v>4.2</v>
      </c>
      <c r="H58" s="107">
        <f t="shared" si="30"/>
        <v>1.8213635227313314</v>
      </c>
      <c r="I58" s="107">
        <f t="shared" si="31"/>
        <v>2.4850305212061086</v>
      </c>
      <c r="J58" s="706">
        <f t="shared" si="32"/>
        <v>4.1803278688524586</v>
      </c>
      <c r="K58" s="714">
        <f t="shared" si="24"/>
        <v>18.396000000000001</v>
      </c>
      <c r="L58" s="335">
        <f t="shared" si="27"/>
        <v>7.977572229563231</v>
      </c>
      <c r="M58" s="335">
        <f t="shared" si="28"/>
        <v>10.884433682882756</v>
      </c>
      <c r="N58" s="657">
        <f t="shared" si="25"/>
        <v>18.309836065573766</v>
      </c>
      <c r="O58" s="710">
        <f t="shared" si="19"/>
        <v>4.2</v>
      </c>
      <c r="P58" s="161">
        <f t="shared" ref="P58" si="34">O58*8760/2000</f>
        <v>18.396000000000001</v>
      </c>
      <c r="Q58" s="341">
        <f t="shared" si="7"/>
        <v>18.396000000000001</v>
      </c>
      <c r="W58" s="150"/>
      <c r="X58" s="156"/>
    </row>
    <row r="59" spans="1:24" s="124" customFormat="1" ht="14.25" x14ac:dyDescent="0.25">
      <c r="A59" s="961"/>
      <c r="B59" s="689" t="s">
        <v>237</v>
      </c>
      <c r="C59" s="697">
        <v>120000</v>
      </c>
      <c r="D59" s="117">
        <v>22300</v>
      </c>
      <c r="E59" s="746"/>
      <c r="F59" s="698">
        <v>12500</v>
      </c>
      <c r="G59" s="695">
        <f t="shared" si="29"/>
        <v>6000</v>
      </c>
      <c r="H59" s="321">
        <f t="shared" si="30"/>
        <v>8123.2813113817374</v>
      </c>
      <c r="I59" s="321"/>
      <c r="J59" s="707">
        <f t="shared" si="32"/>
        <v>6967.2131147540977</v>
      </c>
      <c r="K59" s="715">
        <f t="shared" si="24"/>
        <v>26280</v>
      </c>
      <c r="L59" s="321">
        <f t="shared" si="27"/>
        <v>35579.972143852014</v>
      </c>
      <c r="M59" s="321"/>
      <c r="N59" s="716">
        <f t="shared" si="25"/>
        <v>30516.39344262295</v>
      </c>
      <c r="O59" s="757">
        <f>MAX(G59:J61)</f>
        <v>9170.7052499999991</v>
      </c>
      <c r="P59" s="758">
        <f>O59*8760/2000</f>
        <v>40167.688994999997</v>
      </c>
      <c r="Q59" s="759">
        <f>MAX(K59:N61)</f>
        <v>40167.688994999997</v>
      </c>
      <c r="V59" s="351" t="s">
        <v>314</v>
      </c>
      <c r="W59" s="150">
        <f>W51*W53*W55*W57/(W53-W54)</f>
        <v>3.6428139553072628E-2</v>
      </c>
      <c r="X59" s="145"/>
    </row>
    <row r="60" spans="1:24" s="760" customFormat="1" ht="14.25" x14ac:dyDescent="0.25">
      <c r="A60" s="961"/>
      <c r="B60" s="749" t="s">
        <v>594</v>
      </c>
      <c r="C60" s="750"/>
      <c r="D60" s="746"/>
      <c r="E60" s="746">
        <f>H9*71.06*2.205*1000</f>
        <v>19585.912500000002</v>
      </c>
      <c r="F60" s="751"/>
      <c r="G60" s="752"/>
      <c r="H60" s="753"/>
      <c r="I60" s="753">
        <f>E60*$B$9</f>
        <v>7991.0523000000003</v>
      </c>
      <c r="J60" s="754"/>
      <c r="K60" s="755"/>
      <c r="L60" s="753"/>
      <c r="M60" s="753">
        <f t="shared" ref="M60:M65" si="35">I60*8760/2000*H$6</f>
        <v>35000.809074000004</v>
      </c>
      <c r="N60" s="756"/>
      <c r="O60" s="757"/>
      <c r="P60" s="758"/>
      <c r="Q60" s="759"/>
      <c r="V60" s="761"/>
      <c r="W60" s="762"/>
      <c r="X60" s="763"/>
    </row>
    <row r="61" spans="1:24" s="760" customFormat="1" ht="14.25" x14ac:dyDescent="0.25">
      <c r="A61" s="961"/>
      <c r="B61" s="749" t="s">
        <v>595</v>
      </c>
      <c r="C61" s="750"/>
      <c r="D61" s="746"/>
      <c r="E61" s="746">
        <f>H10*81.55*2.205*1000</f>
        <v>21578.129999999997</v>
      </c>
      <c r="F61" s="751"/>
      <c r="G61" s="752"/>
      <c r="H61" s="753"/>
      <c r="I61" s="753">
        <f>E61*$B$10</f>
        <v>9170.7052499999991</v>
      </c>
      <c r="J61" s="754"/>
      <c r="K61" s="755"/>
      <c r="L61" s="753"/>
      <c r="M61" s="753">
        <f t="shared" si="35"/>
        <v>40167.688994999997</v>
      </c>
      <c r="N61" s="756"/>
      <c r="O61" s="757"/>
      <c r="P61" s="758"/>
      <c r="Q61" s="759"/>
      <c r="V61" s="761"/>
      <c r="W61" s="762"/>
      <c r="X61" s="763"/>
    </row>
    <row r="62" spans="1:24" s="124" customFormat="1" ht="14.25" x14ac:dyDescent="0.25">
      <c r="A62" s="961"/>
      <c r="B62" s="689" t="s">
        <v>238</v>
      </c>
      <c r="C62" s="697">
        <v>2.2999999999999998</v>
      </c>
      <c r="D62" s="117">
        <v>5.1999999999999998E-2</v>
      </c>
      <c r="E62" s="117">
        <v>5.1999999999999998E-2</v>
      </c>
      <c r="F62" s="698">
        <v>0.2</v>
      </c>
      <c r="G62" s="167">
        <f>C62*$B$8</f>
        <v>0.11499999999999999</v>
      </c>
      <c r="H62" s="107">
        <f>D62*$B$7*$H$6</f>
        <v>1.8942180636405844E-2</v>
      </c>
      <c r="I62" s="107">
        <f>E62*$B$10</f>
        <v>2.2099999999999998E-2</v>
      </c>
      <c r="J62" s="706">
        <f t="shared" si="32"/>
        <v>0.11147540983606558</v>
      </c>
      <c r="K62" s="660">
        <f t="shared" si="24"/>
        <v>0.50370000000000004</v>
      </c>
      <c r="L62" s="107">
        <f>H62*8760/2000*H$6</f>
        <v>8.296675118745761E-2</v>
      </c>
      <c r="M62" s="107">
        <f t="shared" si="35"/>
        <v>9.6797999999999981E-2</v>
      </c>
      <c r="N62" s="657">
        <f>J62*8760/2000*H$6</f>
        <v>0.48826229508196722</v>
      </c>
      <c r="O62" s="710">
        <f t="shared" si="19"/>
        <v>0.11499999999999999</v>
      </c>
      <c r="P62" s="157">
        <f t="shared" ref="P62:P63" si="36">O62*8760/2000</f>
        <v>0.50370000000000004</v>
      </c>
      <c r="Q62" s="341">
        <f t="shared" si="7"/>
        <v>0.50370000000000004</v>
      </c>
      <c r="V62" s="351" t="s">
        <v>315</v>
      </c>
      <c r="W62" s="150">
        <f>W52*W53*W56*W57/(W53-W54)</f>
        <v>0.10249509452513966</v>
      </c>
      <c r="X62" s="145"/>
    </row>
    <row r="63" spans="1:24" s="124" customFormat="1" ht="14.25" x14ac:dyDescent="0.25">
      <c r="A63" s="961"/>
      <c r="B63" s="689" t="s">
        <v>239</v>
      </c>
      <c r="C63" s="697">
        <v>2.2000000000000002</v>
      </c>
      <c r="D63" s="117">
        <v>0.26</v>
      </c>
      <c r="E63" s="117">
        <f>+AVERAGE(0.53,0.26)</f>
        <v>0.39500000000000002</v>
      </c>
      <c r="F63" s="698">
        <v>0.9</v>
      </c>
      <c r="G63" s="167">
        <f>C63*$B$8</f>
        <v>0.11000000000000001</v>
      </c>
      <c r="H63" s="107">
        <f>D63*$B$7*$H$6</f>
        <v>9.4710903182029224E-2</v>
      </c>
      <c r="I63" s="107">
        <f>E63*$B$10</f>
        <v>0.167875</v>
      </c>
      <c r="J63" s="706">
        <f t="shared" si="32"/>
        <v>0.50163934426229506</v>
      </c>
      <c r="K63" s="660">
        <f t="shared" si="24"/>
        <v>0.48180000000000006</v>
      </c>
      <c r="L63" s="107">
        <f>H63*8760/2000*H$6</f>
        <v>0.414833755937288</v>
      </c>
      <c r="M63" s="107">
        <f t="shared" si="35"/>
        <v>0.73529250000000002</v>
      </c>
      <c r="N63" s="657">
        <f>J63*8760/2000*H$6</f>
        <v>2.197180327868852</v>
      </c>
      <c r="O63" s="710">
        <f t="shared" si="19"/>
        <v>0.50163934426229506</v>
      </c>
      <c r="P63" s="157">
        <f t="shared" si="36"/>
        <v>2.197180327868852</v>
      </c>
      <c r="Q63" s="341">
        <f t="shared" si="7"/>
        <v>2.197180327868852</v>
      </c>
      <c r="R63" s="103"/>
      <c r="S63" s="150"/>
      <c r="X63" s="145"/>
    </row>
    <row r="64" spans="1:24" s="124" customFormat="1" x14ac:dyDescent="0.2">
      <c r="A64" s="961"/>
      <c r="B64" s="689" t="s">
        <v>158</v>
      </c>
      <c r="C64" s="722"/>
      <c r="D64" s="123"/>
      <c r="E64" s="123"/>
      <c r="F64" s="698"/>
      <c r="G64" s="721">
        <f>SUM(G59:G63)</f>
        <v>6000.2249999999995</v>
      </c>
      <c r="H64" s="322">
        <f>SUM(H59:H63)</f>
        <v>8123.3949644655559</v>
      </c>
      <c r="I64" s="753">
        <f>SUM(MAX(I60:I61),I62:I63)</f>
        <v>9170.8952249999984</v>
      </c>
      <c r="J64" s="707">
        <f>SUM(J59:J63)</f>
        <v>6967.8262295081959</v>
      </c>
      <c r="K64" s="715">
        <f t="shared" si="24"/>
        <v>26280.985499999995</v>
      </c>
      <c r="L64" s="321">
        <f>H64*8760/2000*H$6</f>
        <v>35580.469944359131</v>
      </c>
      <c r="M64" s="753">
        <f t="shared" si="35"/>
        <v>40168.521085499997</v>
      </c>
      <c r="N64" s="716">
        <f>J64*8760/2000*H$6</f>
        <v>30519.078885245897</v>
      </c>
      <c r="O64" s="757">
        <f>MAX(G64:J64)</f>
        <v>9170.8952249999984</v>
      </c>
      <c r="P64" s="758">
        <f>O64*8760/2000</f>
        <v>40168.521085499997</v>
      </c>
      <c r="Q64" s="759">
        <f>MAX(K64:N64)</f>
        <v>40168.521085499997</v>
      </c>
      <c r="R64" s="103"/>
      <c r="S64" s="150"/>
      <c r="X64" s="145"/>
    </row>
    <row r="65" spans="1:24" s="124" customFormat="1" ht="15" thickBot="1" x14ac:dyDescent="0.3">
      <c r="A65" s="962"/>
      <c r="B65" s="690" t="s">
        <v>320</v>
      </c>
      <c r="C65" s="723"/>
      <c r="D65" s="121"/>
      <c r="E65" s="121"/>
      <c r="F65" s="703"/>
      <c r="G65" s="696">
        <f>G59+(G62*25)+(G63*298)</f>
        <v>6035.6549999999997</v>
      </c>
      <c r="H65" s="345">
        <f>H59+(H62*25)+(H63*298)</f>
        <v>8151.9787150458924</v>
      </c>
      <c r="I65" s="765">
        <f>MAX(I60:I61)+(I62*25)+(I63*298)</f>
        <v>9221.2844999999998</v>
      </c>
      <c r="J65" s="708">
        <f>J59+(J62*25)+(J63*298)</f>
        <v>7119.4885245901633</v>
      </c>
      <c r="K65" s="717">
        <f t="shared" si="24"/>
        <v>26436.168899999997</v>
      </c>
      <c r="L65" s="345">
        <f>H65*8760/2000*H$6</f>
        <v>35705.666771901015</v>
      </c>
      <c r="M65" s="765">
        <f t="shared" si="35"/>
        <v>40389.226109999996</v>
      </c>
      <c r="N65" s="718">
        <f>J65*8760/2000*H$6</f>
        <v>31183.359737704915</v>
      </c>
      <c r="O65" s="766">
        <f>MAX(G65:J65)</f>
        <v>9221.2844999999998</v>
      </c>
      <c r="P65" s="767">
        <f>O65*8760/2000</f>
        <v>40389.226109999996</v>
      </c>
      <c r="Q65" s="768">
        <f t="shared" si="7"/>
        <v>40389.226109999996</v>
      </c>
      <c r="R65" s="103"/>
      <c r="S65" s="150"/>
      <c r="X65" s="145"/>
    </row>
    <row r="66" spans="1:24" s="124" customFormat="1" ht="59.25" customHeight="1" x14ac:dyDescent="0.2">
      <c r="A66" s="955" t="s">
        <v>598</v>
      </c>
      <c r="B66" s="955"/>
      <c r="C66" s="955"/>
      <c r="D66" s="955"/>
      <c r="E66" s="955"/>
      <c r="F66" s="955"/>
      <c r="G66" s="955"/>
      <c r="H66" s="955"/>
      <c r="I66" s="955"/>
      <c r="J66" s="955"/>
      <c r="K66" s="955"/>
      <c r="L66" s="955"/>
      <c r="M66" s="955"/>
      <c r="N66" s="955"/>
      <c r="O66" s="955"/>
      <c r="P66" s="955"/>
      <c r="Q66" s="955"/>
      <c r="U66" s="145"/>
    </row>
    <row r="67" spans="1:24" s="124" customFormat="1" x14ac:dyDescent="0.2">
      <c r="A67" s="745" t="s">
        <v>597</v>
      </c>
      <c r="B67" s="777"/>
      <c r="C67" s="777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  <c r="P67" s="777"/>
      <c r="Q67" s="777"/>
      <c r="U67" s="145"/>
    </row>
    <row r="68" spans="1:24" s="124" customFormat="1" ht="17.25" customHeight="1" x14ac:dyDescent="0.2">
      <c r="A68" s="954" t="s">
        <v>608</v>
      </c>
      <c r="B68" s="954"/>
      <c r="C68" s="954"/>
      <c r="D68" s="954"/>
      <c r="E68" s="954"/>
      <c r="F68" s="954"/>
      <c r="G68" s="954"/>
      <c r="H68" s="954"/>
      <c r="I68" s="954"/>
      <c r="J68" s="954"/>
      <c r="K68" s="954"/>
      <c r="L68" s="954"/>
      <c r="M68" s="954"/>
      <c r="N68" s="954"/>
      <c r="O68" s="954"/>
      <c r="P68" s="954"/>
      <c r="Q68" s="954"/>
    </row>
    <row r="69" spans="1:24" s="124" customFormat="1" ht="15.75" customHeight="1" x14ac:dyDescent="0.2">
      <c r="A69" s="447" t="s">
        <v>372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</row>
    <row r="70" spans="1:24" s="124" customFormat="1" ht="14.25" customHeight="1" thickBot="1" x14ac:dyDescent="0.25">
      <c r="A70" s="430"/>
      <c r="B70" s="431"/>
      <c r="C70" s="430"/>
      <c r="D70" s="430"/>
      <c r="E70" s="430"/>
      <c r="F70" s="430"/>
      <c r="G70" s="430"/>
      <c r="H70" s="430"/>
      <c r="I70" s="430"/>
      <c r="J70" s="430"/>
      <c r="K70" s="430"/>
      <c r="L70" s="430"/>
      <c r="M70" s="430"/>
      <c r="N70" s="430"/>
      <c r="O70" s="103"/>
      <c r="P70" s="150"/>
      <c r="U70" s="145"/>
    </row>
  </sheetData>
  <mergeCells count="6">
    <mergeCell ref="A1:M1"/>
    <mergeCell ref="A68:Q68"/>
    <mergeCell ref="A2:M2"/>
    <mergeCell ref="A3:M3"/>
    <mergeCell ref="A13:A65"/>
    <mergeCell ref="A66:Q66"/>
  </mergeCells>
  <printOptions horizontalCentered="1" gridLines="1" gridLinesSet="0"/>
  <pageMargins left="0.4" right="0.4" top="1" bottom="1" header="0.5" footer="0.5"/>
  <pageSetup scale="43" fitToHeight="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R602"/>
  <sheetViews>
    <sheetView view="pageBreakPreview" zoomScale="90" zoomScaleNormal="100" zoomScaleSheetLayoutView="90" workbookViewId="0">
      <selection activeCell="B139" sqref="B139"/>
    </sheetView>
  </sheetViews>
  <sheetFormatPr defaultRowHeight="12.75" x14ac:dyDescent="0.2"/>
  <cols>
    <col min="1" max="1" width="11.42578125" style="220" customWidth="1"/>
    <col min="2" max="2" width="29.28515625" style="220" customWidth="1"/>
    <col min="3" max="3" width="11.28515625" style="220" customWidth="1"/>
    <col min="4" max="4" width="12.7109375" style="220" bestFit="1" customWidth="1"/>
    <col min="5" max="5" width="12" style="220" customWidth="1"/>
    <col min="6" max="6" width="11.85546875" style="220" customWidth="1"/>
    <col min="7" max="7" width="12.7109375" style="220" bestFit="1" customWidth="1"/>
    <col min="8" max="8" width="13.5703125" style="220" bestFit="1" customWidth="1"/>
    <col min="9" max="9" width="10.5703125" style="220" bestFit="1" customWidth="1"/>
    <col min="10" max="10" width="11.7109375" style="220" bestFit="1" customWidth="1"/>
    <col min="11" max="11" width="11.85546875" style="220" customWidth="1"/>
    <col min="12" max="12" width="11.5703125" style="220" customWidth="1"/>
    <col min="13" max="13" width="10.7109375" style="220" customWidth="1"/>
    <col min="14" max="14" width="12.42578125" style="220" bestFit="1" customWidth="1"/>
    <col min="15" max="15" width="12.28515625" style="220" customWidth="1"/>
    <col min="16" max="17" width="13" style="220" customWidth="1"/>
    <col min="18" max="18" width="13.85546875" style="220" customWidth="1"/>
    <col min="19" max="16384" width="9.140625" style="220"/>
  </cols>
  <sheetData>
    <row r="1" spans="1:18" s="169" customFormat="1" ht="18" x14ac:dyDescent="0.25">
      <c r="A1" s="966" t="s">
        <v>11</v>
      </c>
      <c r="B1" s="966"/>
      <c r="C1" s="966"/>
      <c r="D1" s="966"/>
      <c r="E1" s="966"/>
      <c r="F1" s="966"/>
      <c r="G1" s="966"/>
      <c r="H1" s="966"/>
      <c r="I1" s="966"/>
      <c r="J1" s="966"/>
      <c r="K1" s="966"/>
      <c r="L1" s="966"/>
      <c r="M1" s="966"/>
    </row>
    <row r="2" spans="1:18" s="169" customFormat="1" ht="15.75" x14ac:dyDescent="0.25">
      <c r="A2" s="964" t="s">
        <v>654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</row>
    <row r="3" spans="1:18" s="169" customFormat="1" ht="15.75" x14ac:dyDescent="0.25">
      <c r="A3" s="964" t="s">
        <v>303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</row>
    <row r="4" spans="1:18" s="172" customFormat="1" x14ac:dyDescent="0.2">
      <c r="A4" s="170" t="s">
        <v>90</v>
      </c>
      <c r="B4" s="171"/>
    </row>
    <row r="5" spans="1:18" s="124" customFormat="1" x14ac:dyDescent="0.2">
      <c r="A5" s="929" t="s">
        <v>611</v>
      </c>
      <c r="I5" s="125"/>
    </row>
    <row r="6" spans="1:18" s="172" customFormat="1" x14ac:dyDescent="0.2">
      <c r="A6" s="169" t="s">
        <v>91</v>
      </c>
      <c r="B6" s="747">
        <v>51</v>
      </c>
      <c r="C6" s="169" t="s">
        <v>52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</row>
    <row r="7" spans="1:18" s="172" customFormat="1" x14ac:dyDescent="0.2">
      <c r="A7" s="169" t="s">
        <v>92</v>
      </c>
      <c r="B7" s="169">
        <f>B6/H7/1000</f>
        <v>0.34</v>
      </c>
      <c r="C7" s="169" t="s">
        <v>93</v>
      </c>
      <c r="D7" s="169"/>
      <c r="E7" s="169" t="s">
        <v>94</v>
      </c>
      <c r="F7" s="169"/>
      <c r="G7" s="169"/>
      <c r="H7" s="173">
        <f>150000/1000000</f>
        <v>0.15</v>
      </c>
      <c r="I7" s="169" t="s">
        <v>95</v>
      </c>
      <c r="J7" s="169"/>
      <c r="K7" s="169" t="s">
        <v>224</v>
      </c>
      <c r="L7" s="174">
        <v>1.5</v>
      </c>
      <c r="M7" s="169" t="s">
        <v>225</v>
      </c>
      <c r="N7" s="169"/>
      <c r="O7" s="169"/>
      <c r="P7" s="169"/>
      <c r="Q7" s="169"/>
      <c r="R7" s="169"/>
    </row>
    <row r="8" spans="1:18" s="172" customFormat="1" x14ac:dyDescent="0.2">
      <c r="A8" s="169" t="s">
        <v>96</v>
      </c>
      <c r="B8" s="169">
        <f>B6/H8/1000</f>
        <v>0.36427270454626626</v>
      </c>
      <c r="C8" s="169" t="s">
        <v>93</v>
      </c>
      <c r="D8" s="169"/>
      <c r="E8" s="169" t="s">
        <v>97</v>
      </c>
      <c r="F8" s="169"/>
      <c r="G8" s="169"/>
      <c r="H8" s="169">
        <f>140005/1000000</f>
        <v>0.14000499999999999</v>
      </c>
      <c r="I8" s="169" t="s">
        <v>95</v>
      </c>
      <c r="J8" s="169"/>
      <c r="K8" s="169" t="s">
        <v>226</v>
      </c>
      <c r="L8" s="174">
        <v>0.5</v>
      </c>
      <c r="M8" s="169" t="s">
        <v>225</v>
      </c>
      <c r="N8" s="169"/>
      <c r="O8" s="169"/>
      <c r="P8" s="169"/>
      <c r="Q8" s="169"/>
      <c r="R8" s="169"/>
    </row>
    <row r="9" spans="1:18" s="172" customFormat="1" x14ac:dyDescent="0.2">
      <c r="A9" s="169" t="s">
        <v>98</v>
      </c>
      <c r="B9" s="169">
        <f>B6/H9</f>
        <v>0.05</v>
      </c>
      <c r="C9" s="169" t="s">
        <v>99</v>
      </c>
      <c r="D9" s="169"/>
      <c r="E9" s="169" t="s">
        <v>100</v>
      </c>
      <c r="F9" s="169"/>
      <c r="G9" s="169"/>
      <c r="H9" s="169">
        <v>1020</v>
      </c>
      <c r="I9" s="169" t="s">
        <v>101</v>
      </c>
      <c r="J9" s="169"/>
      <c r="K9" s="169"/>
      <c r="L9" s="169"/>
      <c r="M9" s="169"/>
      <c r="N9" s="169"/>
      <c r="O9" s="169"/>
      <c r="P9" s="169"/>
      <c r="Q9" s="169"/>
      <c r="R9" s="169"/>
    </row>
    <row r="10" spans="1:18" s="172" customFormat="1" hidden="1" x14ac:dyDescent="0.2">
      <c r="A10" s="169" t="s">
        <v>218</v>
      </c>
      <c r="B10" s="169">
        <f>B6/H10/1000</f>
        <v>0.40052460870316414</v>
      </c>
      <c r="C10" s="169" t="s">
        <v>93</v>
      </c>
      <c r="D10" s="169"/>
      <c r="E10" s="169" t="s">
        <v>219</v>
      </c>
      <c r="F10" s="169"/>
      <c r="G10" s="169"/>
      <c r="H10" s="332">
        <f>127333/1000000</f>
        <v>0.127333</v>
      </c>
      <c r="I10" s="169" t="s">
        <v>95</v>
      </c>
      <c r="J10" s="169"/>
      <c r="K10" s="169" t="s">
        <v>230</v>
      </c>
      <c r="L10" s="174">
        <v>0.1</v>
      </c>
      <c r="M10" s="169" t="s">
        <v>225</v>
      </c>
      <c r="N10" s="169"/>
      <c r="O10" s="169"/>
      <c r="P10" s="169"/>
      <c r="Q10" s="169"/>
      <c r="R10" s="169"/>
    </row>
    <row r="11" spans="1:18" s="176" customFormat="1" ht="63.75" x14ac:dyDescent="0.2">
      <c r="A11" s="175" t="s">
        <v>102</v>
      </c>
      <c r="B11" s="175" t="s">
        <v>10</v>
      </c>
      <c r="C11" s="175" t="s">
        <v>103</v>
      </c>
      <c r="D11" s="175" t="s">
        <v>104</v>
      </c>
      <c r="E11" s="175" t="s">
        <v>105</v>
      </c>
      <c r="F11" s="175" t="s">
        <v>106</v>
      </c>
      <c r="G11" s="175" t="s">
        <v>107</v>
      </c>
      <c r="H11" s="175" t="s">
        <v>108</v>
      </c>
      <c r="I11" s="175" t="s">
        <v>109</v>
      </c>
      <c r="J11" s="175" t="s">
        <v>110</v>
      </c>
      <c r="K11" s="175" t="s">
        <v>111</v>
      </c>
      <c r="R11" s="177" t="s">
        <v>112</v>
      </c>
    </row>
    <row r="12" spans="1:18" s="172" customFormat="1" x14ac:dyDescent="0.2">
      <c r="A12" s="967" t="s">
        <v>656</v>
      </c>
      <c r="B12" s="178" t="s">
        <v>113</v>
      </c>
      <c r="C12" s="179">
        <v>1.7999999999999999E-6</v>
      </c>
      <c r="D12" s="179">
        <v>2.1100000000000001E-5</v>
      </c>
      <c r="E12" s="179">
        <v>2.1100000000000001E-5</v>
      </c>
      <c r="F12" s="179">
        <f>C12*$B$9</f>
        <v>8.9999999999999999E-8</v>
      </c>
      <c r="G12" s="179">
        <f>D12*$B$8</f>
        <v>7.6861540659262177E-6</v>
      </c>
      <c r="H12" s="179">
        <f>E12*$B$7</f>
        <v>7.1740000000000011E-6</v>
      </c>
      <c r="I12" s="180">
        <f t="shared" ref="I12:I43" si="0">MAX(F12:H12)</f>
        <v>7.6861540659262177E-6</v>
      </c>
      <c r="J12" s="180">
        <f>I12*8760/2000</f>
        <v>3.3665354808756835E-5</v>
      </c>
      <c r="K12" s="180">
        <f>I12*8760/2000</f>
        <v>3.3665354808756835E-5</v>
      </c>
      <c r="L12" s="422"/>
      <c r="R12" s="181">
        <f>K29+I150+I90+K428+M502+F556</f>
        <v>2.9243127559449316</v>
      </c>
    </row>
    <row r="13" spans="1:18" s="172" customFormat="1" x14ac:dyDescent="0.2">
      <c r="A13" s="967"/>
      <c r="B13" s="178" t="s">
        <v>114</v>
      </c>
      <c r="C13" s="179">
        <v>1.7999999999999999E-6</v>
      </c>
      <c r="D13" s="179">
        <v>2.53E-7</v>
      </c>
      <c r="E13" s="179">
        <v>2.53E-7</v>
      </c>
      <c r="F13" s="179">
        <f t="shared" ref="F13:F24" si="1">C13*$B$9</f>
        <v>8.9999999999999999E-8</v>
      </c>
      <c r="G13" s="179">
        <f>D13*$B$8</f>
        <v>9.2160994250205359E-8</v>
      </c>
      <c r="H13" s="179">
        <f>E13*$B$7</f>
        <v>8.6020000000000012E-8</v>
      </c>
      <c r="I13" s="180">
        <f t="shared" si="0"/>
        <v>9.2160994250205359E-8</v>
      </c>
      <c r="J13" s="180">
        <f t="shared" ref="J13:J61" si="2">I13*8760/2000</f>
        <v>4.0366515481589947E-7</v>
      </c>
      <c r="K13" s="180">
        <f t="shared" ref="K13:K56" si="3">I13*8760/2000</f>
        <v>4.0366515481589947E-7</v>
      </c>
      <c r="L13" s="422"/>
    </row>
    <row r="14" spans="1:18" s="172" customFormat="1" x14ac:dyDescent="0.2">
      <c r="A14" s="967"/>
      <c r="B14" s="178" t="s">
        <v>115</v>
      </c>
      <c r="C14" s="179">
        <v>2.3999999999999999E-6</v>
      </c>
      <c r="D14" s="179">
        <v>1.22E-6</v>
      </c>
      <c r="E14" s="179">
        <v>1.22E-6</v>
      </c>
      <c r="F14" s="179">
        <f t="shared" si="1"/>
        <v>1.1999999999999999E-7</v>
      </c>
      <c r="G14" s="179">
        <f>D14*$B$8</f>
        <v>4.4441269954644482E-7</v>
      </c>
      <c r="H14" s="179">
        <f>E14*$B$7</f>
        <v>4.1480000000000004E-7</v>
      </c>
      <c r="I14" s="180">
        <f t="shared" si="0"/>
        <v>4.4441269954644482E-7</v>
      </c>
      <c r="J14" s="180">
        <f t="shared" si="2"/>
        <v>1.9465276240134282E-6</v>
      </c>
      <c r="K14" s="180">
        <f t="shared" si="3"/>
        <v>1.9465276240134282E-6</v>
      </c>
      <c r="L14" s="422"/>
    </row>
    <row r="15" spans="1:18" s="172" customFormat="1" x14ac:dyDescent="0.2">
      <c r="A15" s="967"/>
      <c r="B15" s="178" t="s">
        <v>116</v>
      </c>
      <c r="C15" s="179">
        <v>1.7999999999999999E-6</v>
      </c>
      <c r="D15" s="179">
        <v>4.0099999999999997E-6</v>
      </c>
      <c r="E15" s="179">
        <v>4.0099999999999997E-6</v>
      </c>
      <c r="F15" s="179">
        <f t="shared" si="1"/>
        <v>8.9999999999999999E-8</v>
      </c>
      <c r="G15" s="179">
        <f>D15*$B$8</f>
        <v>1.4607335452305275E-6</v>
      </c>
      <c r="H15" s="179">
        <f>E15*$B$7</f>
        <v>1.3633999999999999E-6</v>
      </c>
      <c r="I15" s="180">
        <f t="shared" si="0"/>
        <v>1.4607335452305275E-6</v>
      </c>
      <c r="J15" s="180">
        <f t="shared" si="2"/>
        <v>6.3980129281097101E-6</v>
      </c>
      <c r="K15" s="180">
        <f t="shared" si="3"/>
        <v>6.3980129281097101E-6</v>
      </c>
      <c r="L15" s="422"/>
    </row>
    <row r="16" spans="1:18" s="172" customFormat="1" x14ac:dyDescent="0.2">
      <c r="A16" s="967"/>
      <c r="B16" s="178" t="s">
        <v>117</v>
      </c>
      <c r="C16" s="179">
        <v>2.0999999999999999E-3</v>
      </c>
      <c r="D16" s="179">
        <v>2.14E-4</v>
      </c>
      <c r="E16" s="179">
        <v>2.14E-4</v>
      </c>
      <c r="F16" s="179">
        <f t="shared" si="1"/>
        <v>1.05E-4</v>
      </c>
      <c r="G16" s="179">
        <f>D16*$B$8</f>
        <v>7.7954358772900975E-5</v>
      </c>
      <c r="H16" s="179">
        <f>E16*$B$7</f>
        <v>7.2760000000000001E-5</v>
      </c>
      <c r="I16" s="180">
        <f t="shared" si="0"/>
        <v>1.05E-4</v>
      </c>
      <c r="J16" s="180">
        <f t="shared" si="2"/>
        <v>4.5990000000000001E-4</v>
      </c>
      <c r="K16" s="180">
        <f t="shared" si="3"/>
        <v>4.5990000000000001E-4</v>
      </c>
      <c r="L16" s="422"/>
    </row>
    <row r="17" spans="1:18" s="172" customFormat="1" x14ac:dyDescent="0.2">
      <c r="A17" s="967"/>
      <c r="B17" s="178" t="s">
        <v>118</v>
      </c>
      <c r="C17" s="179">
        <v>1.1999999999999999E-6</v>
      </c>
      <c r="D17" s="179"/>
      <c r="E17" s="179"/>
      <c r="F17" s="179">
        <f t="shared" si="1"/>
        <v>5.9999999999999995E-8</v>
      </c>
      <c r="G17" s="179"/>
      <c r="H17" s="179"/>
      <c r="I17" s="180">
        <f t="shared" si="0"/>
        <v>5.9999999999999995E-8</v>
      </c>
      <c r="J17" s="180">
        <f t="shared" si="2"/>
        <v>2.628E-7</v>
      </c>
      <c r="K17" s="180">
        <f t="shared" si="3"/>
        <v>2.628E-7</v>
      </c>
      <c r="L17" s="422"/>
    </row>
    <row r="18" spans="1:18" s="172" customFormat="1" x14ac:dyDescent="0.2">
      <c r="A18" s="967"/>
      <c r="B18" s="178" t="s">
        <v>119</v>
      </c>
      <c r="C18" s="179">
        <v>1.7999999999999999E-6</v>
      </c>
      <c r="D18" s="179">
        <v>1.48E-6</v>
      </c>
      <c r="E18" s="179">
        <v>1.48E-6</v>
      </c>
      <c r="F18" s="179">
        <f t="shared" si="1"/>
        <v>8.9999999999999999E-8</v>
      </c>
      <c r="G18" s="179">
        <f>D18*$B$8</f>
        <v>5.3912360272847408E-7</v>
      </c>
      <c r="H18" s="179">
        <f>E18*$B$7</f>
        <v>5.0320000000000001E-7</v>
      </c>
      <c r="I18" s="180">
        <f t="shared" si="0"/>
        <v>5.3912360272847408E-7</v>
      </c>
      <c r="J18" s="180">
        <f t="shared" si="2"/>
        <v>2.3613613799507163E-6</v>
      </c>
      <c r="K18" s="180">
        <f t="shared" si="3"/>
        <v>2.3613613799507163E-6</v>
      </c>
      <c r="L18" s="422"/>
    </row>
    <row r="19" spans="1:18" s="172" customFormat="1" x14ac:dyDescent="0.2">
      <c r="A19" s="967"/>
      <c r="B19" s="178" t="s">
        <v>120</v>
      </c>
      <c r="C19" s="179">
        <v>1.1999999999999999E-6</v>
      </c>
      <c r="D19" s="179">
        <v>2.26E-6</v>
      </c>
      <c r="E19" s="179">
        <v>2.26E-6</v>
      </c>
      <c r="F19" s="179">
        <f t="shared" si="1"/>
        <v>5.9999999999999995E-8</v>
      </c>
      <c r="G19" s="179">
        <f>D19*$B$8</f>
        <v>8.2325631227456175E-7</v>
      </c>
      <c r="H19" s="179">
        <f>E19*$B$7</f>
        <v>7.6840000000000002E-7</v>
      </c>
      <c r="I19" s="180">
        <f t="shared" si="0"/>
        <v>8.2325631227456175E-7</v>
      </c>
      <c r="J19" s="180">
        <f t="shared" si="2"/>
        <v>3.6058626477625806E-6</v>
      </c>
      <c r="K19" s="180">
        <f t="shared" si="3"/>
        <v>3.6058626477625806E-6</v>
      </c>
      <c r="L19" s="422"/>
    </row>
    <row r="20" spans="1:18" s="172" customFormat="1" x14ac:dyDescent="0.2">
      <c r="A20" s="967"/>
      <c r="B20" s="178" t="s">
        <v>121</v>
      </c>
      <c r="C20" s="179">
        <v>1.7999999999999999E-6</v>
      </c>
      <c r="D20" s="179">
        <v>1.48E-6</v>
      </c>
      <c r="E20" s="179">
        <v>1.48E-6</v>
      </c>
      <c r="F20" s="179">
        <f t="shared" si="1"/>
        <v>8.9999999999999999E-8</v>
      </c>
      <c r="G20" s="179">
        <f>D20*$B$8</f>
        <v>5.3912360272847408E-7</v>
      </c>
      <c r="H20" s="179">
        <f>E20*$B$7</f>
        <v>5.0320000000000001E-7</v>
      </c>
      <c r="I20" s="180">
        <f t="shared" si="0"/>
        <v>5.3912360272847408E-7</v>
      </c>
      <c r="J20" s="180">
        <f t="shared" si="2"/>
        <v>2.3613613799507163E-6</v>
      </c>
      <c r="K20" s="180">
        <f t="shared" si="3"/>
        <v>2.3613613799507163E-6</v>
      </c>
      <c r="L20" s="422"/>
    </row>
    <row r="21" spans="1:18" s="172" customFormat="1" x14ac:dyDescent="0.2">
      <c r="A21" s="967"/>
      <c r="B21" s="178" t="s">
        <v>122</v>
      </c>
      <c r="C21" s="179">
        <v>1.7999999999999999E-6</v>
      </c>
      <c r="D21" s="179">
        <v>2.3800000000000001E-6</v>
      </c>
      <c r="E21" s="179">
        <v>2.3800000000000001E-6</v>
      </c>
      <c r="F21" s="179">
        <f t="shared" si="1"/>
        <v>8.9999999999999999E-8</v>
      </c>
      <c r="G21" s="179">
        <f>D21*$B$8</f>
        <v>8.6696903682011375E-7</v>
      </c>
      <c r="H21" s="179">
        <f>E21*$B$7</f>
        <v>8.0920000000000013E-7</v>
      </c>
      <c r="I21" s="180">
        <f t="shared" si="0"/>
        <v>8.6696903682011375E-7</v>
      </c>
      <c r="J21" s="180">
        <f t="shared" si="2"/>
        <v>3.7973243812720982E-6</v>
      </c>
      <c r="K21" s="180">
        <f t="shared" si="3"/>
        <v>3.7973243812720982E-6</v>
      </c>
      <c r="L21" s="422"/>
    </row>
    <row r="22" spans="1:18" s="172" customFormat="1" x14ac:dyDescent="0.2">
      <c r="A22" s="967"/>
      <c r="B22" s="178" t="s">
        <v>123</v>
      </c>
      <c r="C22" s="179">
        <v>1.1999999999999999E-3</v>
      </c>
      <c r="D22" s="179">
        <v>1.6700000000000001E-6</v>
      </c>
      <c r="E22" s="179">
        <v>1.6700000000000001E-6</v>
      </c>
      <c r="F22" s="179">
        <f t="shared" si="1"/>
        <v>5.9999999999999995E-5</v>
      </c>
      <c r="G22" s="179">
        <f>D22*$B$8</f>
        <v>6.0833541659226471E-7</v>
      </c>
      <c r="H22" s="179">
        <f>E22*$B$7</f>
        <v>5.6780000000000009E-7</v>
      </c>
      <c r="I22" s="180">
        <f t="shared" si="0"/>
        <v>5.9999999999999995E-5</v>
      </c>
      <c r="J22" s="180">
        <f t="shared" si="2"/>
        <v>2.6279999999999999E-4</v>
      </c>
      <c r="K22" s="180">
        <f t="shared" si="3"/>
        <v>2.6279999999999999E-4</v>
      </c>
      <c r="L22" s="422"/>
    </row>
    <row r="23" spans="1:18" s="172" customFormat="1" x14ac:dyDescent="0.2">
      <c r="A23" s="967"/>
      <c r="B23" s="178" t="s">
        <v>124</v>
      </c>
      <c r="C23" s="179">
        <v>1.1999999999999999E-3</v>
      </c>
      <c r="D23" s="179"/>
      <c r="E23" s="179"/>
      <c r="F23" s="179">
        <f t="shared" si="1"/>
        <v>5.9999999999999995E-5</v>
      </c>
      <c r="G23" s="179"/>
      <c r="H23" s="179"/>
      <c r="I23" s="180">
        <f t="shared" si="0"/>
        <v>5.9999999999999995E-5</v>
      </c>
      <c r="J23" s="180">
        <f t="shared" si="2"/>
        <v>2.6279999999999999E-4</v>
      </c>
      <c r="K23" s="180">
        <f t="shared" si="3"/>
        <v>2.6279999999999999E-4</v>
      </c>
      <c r="L23" s="422"/>
    </row>
    <row r="24" spans="1:18" s="172" customFormat="1" x14ac:dyDescent="0.2">
      <c r="A24" s="967"/>
      <c r="B24" s="178" t="s">
        <v>214</v>
      </c>
      <c r="C24" s="179">
        <v>1.5999999999999999E-5</v>
      </c>
      <c r="D24" s="179"/>
      <c r="E24" s="179"/>
      <c r="F24" s="179">
        <f t="shared" si="1"/>
        <v>7.9999999999999996E-7</v>
      </c>
      <c r="G24" s="179"/>
      <c r="H24" s="179"/>
      <c r="I24" s="180">
        <f t="shared" si="0"/>
        <v>7.9999999999999996E-7</v>
      </c>
      <c r="J24" s="180">
        <f t="shared" si="2"/>
        <v>3.5039999999999998E-6</v>
      </c>
      <c r="K24" s="180">
        <f t="shared" si="3"/>
        <v>3.5039999999999998E-6</v>
      </c>
      <c r="L24" s="422"/>
    </row>
    <row r="25" spans="1:18" s="172" customFormat="1" x14ac:dyDescent="0.2">
      <c r="A25" s="967"/>
      <c r="B25" s="178" t="s">
        <v>125</v>
      </c>
      <c r="C25" s="179"/>
      <c r="D25" s="179">
        <v>6.3600000000000001E-5</v>
      </c>
      <c r="E25" s="179">
        <v>6.3600000000000001E-5</v>
      </c>
      <c r="F25" s="179"/>
      <c r="G25" s="179">
        <f>D25*$B$8</f>
        <v>2.3167744009142534E-5</v>
      </c>
      <c r="H25" s="179">
        <f>E25*$B$7</f>
        <v>2.1624000000000002E-5</v>
      </c>
      <c r="I25" s="180">
        <f t="shared" si="0"/>
        <v>2.3167744009142534E-5</v>
      </c>
      <c r="J25" s="180">
        <f t="shared" si="2"/>
        <v>1.0147471876004429E-4</v>
      </c>
      <c r="K25" s="180">
        <f t="shared" si="3"/>
        <v>1.0147471876004429E-4</v>
      </c>
      <c r="L25" s="422"/>
    </row>
    <row r="26" spans="1:18" s="172" customFormat="1" x14ac:dyDescent="0.2">
      <c r="A26" s="967"/>
      <c r="B26" s="178" t="s">
        <v>126</v>
      </c>
      <c r="C26" s="179">
        <v>3.0000000000000001E-6</v>
      </c>
      <c r="D26" s="179">
        <v>4.8400000000000002E-6</v>
      </c>
      <c r="E26" s="179">
        <v>4.8400000000000002E-6</v>
      </c>
      <c r="F26" s="179">
        <f t="shared" ref="F26:F37" si="4">C26*$B$9</f>
        <v>1.5000000000000002E-7</v>
      </c>
      <c r="G26" s="179">
        <f>D26*$B$8</f>
        <v>1.7630798900039288E-6</v>
      </c>
      <c r="H26" s="179">
        <f>E26*$B$7</f>
        <v>1.6456000000000002E-6</v>
      </c>
      <c r="I26" s="180">
        <f t="shared" si="0"/>
        <v>1.7630798900039288E-6</v>
      </c>
      <c r="J26" s="180">
        <f t="shared" si="2"/>
        <v>7.7222899182172087E-6</v>
      </c>
      <c r="K26" s="180">
        <f t="shared" si="3"/>
        <v>7.7222899182172087E-6</v>
      </c>
      <c r="L26" s="422"/>
    </row>
    <row r="27" spans="1:18" s="172" customFormat="1" x14ac:dyDescent="0.2">
      <c r="A27" s="967"/>
      <c r="B27" s="178" t="s">
        <v>127</v>
      </c>
      <c r="C27" s="179">
        <v>2.7999999999999999E-6</v>
      </c>
      <c r="D27" s="179">
        <v>4.4700000000000004E-6</v>
      </c>
      <c r="E27" s="179">
        <v>4.4700000000000004E-6</v>
      </c>
      <c r="F27" s="179">
        <f t="shared" si="4"/>
        <v>1.4000000000000001E-7</v>
      </c>
      <c r="G27" s="179">
        <f>D27*$B$8</f>
        <v>1.6282989893218102E-6</v>
      </c>
      <c r="H27" s="179">
        <f>E27*$B$7</f>
        <v>1.5198000000000003E-6</v>
      </c>
      <c r="I27" s="180">
        <f t="shared" si="0"/>
        <v>1.6282989893218102E-6</v>
      </c>
      <c r="J27" s="180">
        <f t="shared" si="2"/>
        <v>7.1319495732295294E-6</v>
      </c>
      <c r="K27" s="180">
        <f t="shared" si="3"/>
        <v>7.1319495732295294E-6</v>
      </c>
      <c r="L27" s="422"/>
    </row>
    <row r="28" spans="1:18" s="172" customFormat="1" x14ac:dyDescent="0.2">
      <c r="A28" s="967"/>
      <c r="B28" s="178" t="s">
        <v>128</v>
      </c>
      <c r="C28" s="179">
        <v>7.4999999999999997E-2</v>
      </c>
      <c r="D28" s="179">
        <v>3.3000000000000002E-2</v>
      </c>
      <c r="E28" s="179">
        <v>3.3000000000000002E-2</v>
      </c>
      <c r="F28" s="179">
        <f t="shared" si="4"/>
        <v>3.7499999999999999E-3</v>
      </c>
      <c r="G28" s="179">
        <f>D28*$B$8</f>
        <v>1.2020999250026787E-2</v>
      </c>
      <c r="H28" s="179">
        <f>E28*$B$7</f>
        <v>1.1220000000000001E-2</v>
      </c>
      <c r="I28" s="180">
        <f t="shared" si="0"/>
        <v>1.2020999250026787E-2</v>
      </c>
      <c r="J28" s="180">
        <f t="shared" si="2"/>
        <v>5.265197671511733E-2</v>
      </c>
      <c r="K28" s="180">
        <f t="shared" si="3"/>
        <v>5.265197671511733E-2</v>
      </c>
      <c r="L28" s="422"/>
      <c r="R28" s="181"/>
    </row>
    <row r="29" spans="1:18" s="172" customFormat="1" x14ac:dyDescent="0.2">
      <c r="A29" s="967"/>
      <c r="B29" s="178" t="s">
        <v>129</v>
      </c>
      <c r="C29" s="179">
        <v>1.8</v>
      </c>
      <c r="D29" s="179"/>
      <c r="E29" s="179"/>
      <c r="F29" s="179">
        <f t="shared" si="4"/>
        <v>9.0000000000000011E-2</v>
      </c>
      <c r="G29" s="179"/>
      <c r="H29" s="179"/>
      <c r="I29" s="180">
        <f t="shared" si="0"/>
        <v>9.0000000000000011E-2</v>
      </c>
      <c r="J29" s="180">
        <f t="shared" si="2"/>
        <v>0.39420000000000005</v>
      </c>
      <c r="K29" s="182">
        <f t="shared" si="3"/>
        <v>0.39420000000000005</v>
      </c>
      <c r="L29" s="422"/>
    </row>
    <row r="30" spans="1:18" s="172" customFormat="1" x14ac:dyDescent="0.2">
      <c r="A30" s="967"/>
      <c r="B30" s="178" t="s">
        <v>130</v>
      </c>
      <c r="C30" s="179">
        <v>1.7999999999999999E-6</v>
      </c>
      <c r="D30" s="179">
        <v>2.1399999999999998E-6</v>
      </c>
      <c r="E30" s="179">
        <v>2.1399999999999998E-6</v>
      </c>
      <c r="F30" s="179">
        <f t="shared" si="4"/>
        <v>8.9999999999999999E-8</v>
      </c>
      <c r="G30" s="179">
        <f t="shared" ref="G30:G49" si="5">D30*$B$8</f>
        <v>7.7954358772900975E-7</v>
      </c>
      <c r="H30" s="179">
        <f t="shared" ref="H30:H49" si="6">E30*$B$7</f>
        <v>7.2760000000000003E-7</v>
      </c>
      <c r="I30" s="180">
        <f t="shared" si="0"/>
        <v>7.7954358772900975E-7</v>
      </c>
      <c r="J30" s="180">
        <f t="shared" si="2"/>
        <v>3.4144009142530625E-6</v>
      </c>
      <c r="K30" s="182">
        <f t="shared" si="3"/>
        <v>3.4144009142530625E-6</v>
      </c>
      <c r="L30" s="422"/>
    </row>
    <row r="31" spans="1:18" s="172" customFormat="1" x14ac:dyDescent="0.2">
      <c r="A31" s="967"/>
      <c r="B31" s="178" t="s">
        <v>216</v>
      </c>
      <c r="C31" s="179">
        <v>2.4000000000000001E-5</v>
      </c>
      <c r="D31" s="179"/>
      <c r="E31" s="179"/>
      <c r="F31" s="179">
        <f t="shared" si="4"/>
        <v>1.2000000000000002E-6</v>
      </c>
      <c r="G31" s="179"/>
      <c r="H31" s="179"/>
      <c r="I31" s="180">
        <f t="shared" si="0"/>
        <v>1.2000000000000002E-6</v>
      </c>
      <c r="J31" s="180">
        <f t="shared" si="2"/>
        <v>5.256000000000001E-6</v>
      </c>
      <c r="K31" s="182">
        <f t="shared" si="3"/>
        <v>5.256000000000001E-6</v>
      </c>
      <c r="L31" s="422"/>
    </row>
    <row r="32" spans="1:18" s="172" customFormat="1" x14ac:dyDescent="0.2">
      <c r="A32" s="967"/>
      <c r="B32" s="178" t="s">
        <v>217</v>
      </c>
      <c r="C32" s="179">
        <v>1.7999999999999999E-6</v>
      </c>
      <c r="D32" s="179"/>
      <c r="E32" s="179"/>
      <c r="F32" s="179">
        <f t="shared" si="4"/>
        <v>8.9999999999999999E-8</v>
      </c>
      <c r="G32" s="179"/>
      <c r="H32" s="179"/>
      <c r="I32" s="180">
        <f t="shared" si="0"/>
        <v>8.9999999999999999E-8</v>
      </c>
      <c r="J32" s="180">
        <f t="shared" si="2"/>
        <v>3.9419999999999997E-7</v>
      </c>
      <c r="K32" s="182">
        <f t="shared" si="3"/>
        <v>3.9419999999999997E-7</v>
      </c>
      <c r="L32" s="422"/>
    </row>
    <row r="33" spans="1:18" s="172" customFormat="1" x14ac:dyDescent="0.2">
      <c r="A33" s="967"/>
      <c r="B33" s="178" t="s">
        <v>131</v>
      </c>
      <c r="C33" s="179">
        <v>6.0999999999999997E-4</v>
      </c>
      <c r="D33" s="179">
        <v>1.1299999999999999E-3</v>
      </c>
      <c r="E33" s="179">
        <v>1.1299999999999999E-3</v>
      </c>
      <c r="F33" s="179">
        <f t="shared" si="4"/>
        <v>3.0499999999999999E-5</v>
      </c>
      <c r="G33" s="179">
        <f t="shared" si="5"/>
        <v>4.1162815613728082E-4</v>
      </c>
      <c r="H33" s="179">
        <f t="shared" si="6"/>
        <v>3.8420000000000001E-4</v>
      </c>
      <c r="I33" s="180">
        <f t="shared" si="0"/>
        <v>4.1162815613728082E-4</v>
      </c>
      <c r="J33" s="180">
        <f t="shared" si="2"/>
        <v>1.8029313238812901E-3</v>
      </c>
      <c r="K33" s="182">
        <f t="shared" si="3"/>
        <v>1.8029313238812901E-3</v>
      </c>
      <c r="L33" s="422"/>
    </row>
    <row r="34" spans="1:18" s="172" customFormat="1" x14ac:dyDescent="0.2">
      <c r="A34" s="967"/>
      <c r="B34" s="178" t="s">
        <v>132</v>
      </c>
      <c r="C34" s="179">
        <v>1.7E-5</v>
      </c>
      <c r="D34" s="179">
        <v>1.0499999999999999E-5</v>
      </c>
      <c r="E34" s="179">
        <v>1.0499999999999999E-5</v>
      </c>
      <c r="F34" s="179">
        <f t="shared" si="4"/>
        <v>8.5000000000000001E-7</v>
      </c>
      <c r="G34" s="179">
        <f t="shared" si="5"/>
        <v>3.8248633977357952E-6</v>
      </c>
      <c r="H34" s="179">
        <f t="shared" si="6"/>
        <v>3.5700000000000001E-6</v>
      </c>
      <c r="I34" s="180">
        <f t="shared" si="0"/>
        <v>3.8248633977357952E-6</v>
      </c>
      <c r="J34" s="180">
        <f t="shared" si="2"/>
        <v>1.6752901682082784E-5</v>
      </c>
      <c r="K34" s="182">
        <f t="shared" si="3"/>
        <v>1.6752901682082784E-5</v>
      </c>
      <c r="L34" s="422"/>
    </row>
    <row r="35" spans="1:18" s="172" customFormat="1" x14ac:dyDescent="0.2">
      <c r="A35" s="967"/>
      <c r="B35" s="178" t="s">
        <v>242</v>
      </c>
      <c r="C35" s="179"/>
      <c r="D35" s="179"/>
      <c r="E35" s="179">
        <v>9.4599999999999997E-3</v>
      </c>
      <c r="F35" s="179"/>
      <c r="G35" s="179"/>
      <c r="H35" s="179">
        <f>E35*$B$7</f>
        <v>3.2163999999999999E-3</v>
      </c>
      <c r="I35" s="180">
        <f t="shared" si="0"/>
        <v>3.2163999999999999E-3</v>
      </c>
      <c r="J35" s="180">
        <f t="shared" si="2"/>
        <v>1.4087831999999998E-2</v>
      </c>
      <c r="K35" s="182">
        <f t="shared" si="3"/>
        <v>1.4087831999999998E-2</v>
      </c>
      <c r="L35" s="422"/>
    </row>
    <row r="36" spans="1:18" s="172" customFormat="1" x14ac:dyDescent="0.2">
      <c r="A36" s="967"/>
      <c r="B36" s="178" t="s">
        <v>133</v>
      </c>
      <c r="C36" s="179">
        <v>5.0000000000000004E-6</v>
      </c>
      <c r="D36" s="179">
        <v>4.25E-6</v>
      </c>
      <c r="E36" s="179">
        <v>4.25E-6</v>
      </c>
      <c r="F36" s="179">
        <f t="shared" si="4"/>
        <v>2.5000000000000004E-7</v>
      </c>
      <c r="G36" s="179">
        <f t="shared" si="5"/>
        <v>1.5481589943216315E-6</v>
      </c>
      <c r="H36" s="179">
        <f t="shared" si="6"/>
        <v>1.4450000000000001E-6</v>
      </c>
      <c r="I36" s="180">
        <f t="shared" si="0"/>
        <v>1.5481589943216315E-6</v>
      </c>
      <c r="J36" s="180">
        <f t="shared" si="2"/>
        <v>6.7809363951287462E-6</v>
      </c>
      <c r="K36" s="182">
        <f t="shared" si="3"/>
        <v>6.7809363951287462E-6</v>
      </c>
      <c r="L36" s="422"/>
    </row>
    <row r="37" spans="1:18" s="172" customFormat="1" x14ac:dyDescent="0.2">
      <c r="A37" s="967"/>
      <c r="B37" s="178" t="s">
        <v>134</v>
      </c>
      <c r="C37" s="179">
        <v>3.3999999999999998E-3</v>
      </c>
      <c r="D37" s="179">
        <v>6.1999999999999998E-3</v>
      </c>
      <c r="E37" s="179">
        <v>6.1999999999999998E-3</v>
      </c>
      <c r="F37" s="179">
        <f t="shared" si="4"/>
        <v>1.7000000000000001E-4</v>
      </c>
      <c r="G37" s="179">
        <f t="shared" si="5"/>
        <v>2.2584907681868507E-3</v>
      </c>
      <c r="H37" s="179">
        <f t="shared" si="6"/>
        <v>2.1080000000000001E-3</v>
      </c>
      <c r="I37" s="180">
        <f t="shared" si="0"/>
        <v>2.2584907681868507E-3</v>
      </c>
      <c r="J37" s="180">
        <f t="shared" si="2"/>
        <v>9.892189564658406E-3</v>
      </c>
      <c r="K37" s="182">
        <f t="shared" si="3"/>
        <v>9.892189564658406E-3</v>
      </c>
      <c r="L37" s="422"/>
    </row>
    <row r="38" spans="1:18" s="172" customFormat="1" x14ac:dyDescent="0.2">
      <c r="A38" s="967"/>
      <c r="B38" s="178" t="s">
        <v>240</v>
      </c>
      <c r="C38" s="179"/>
      <c r="D38" s="179">
        <v>2.3599999999999999E-4</v>
      </c>
      <c r="E38" s="179">
        <v>2.3599999999999999E-4</v>
      </c>
      <c r="F38" s="179"/>
      <c r="G38" s="179">
        <f t="shared" si="5"/>
        <v>8.5968358272918834E-5</v>
      </c>
      <c r="H38" s="179">
        <f t="shared" si="6"/>
        <v>8.0240000000000004E-5</v>
      </c>
      <c r="I38" s="180">
        <f t="shared" si="0"/>
        <v>8.5968358272918834E-5</v>
      </c>
      <c r="J38" s="180">
        <f t="shared" si="2"/>
        <v>3.765414092353845E-4</v>
      </c>
      <c r="K38" s="182">
        <f t="shared" si="3"/>
        <v>3.765414092353845E-4</v>
      </c>
      <c r="L38" s="422"/>
    </row>
    <row r="39" spans="1:18" s="172" customFormat="1" x14ac:dyDescent="0.2">
      <c r="A39" s="967"/>
      <c r="B39" s="178" t="s">
        <v>135</v>
      </c>
      <c r="C39" s="179"/>
      <c r="D39" s="179">
        <v>1.0900000000000001E-4</v>
      </c>
      <c r="E39" s="179">
        <v>1.0900000000000001E-4</v>
      </c>
      <c r="F39" s="179"/>
      <c r="G39" s="179">
        <f t="shared" si="5"/>
        <v>3.9705724795543021E-5</v>
      </c>
      <c r="H39" s="179">
        <f t="shared" si="6"/>
        <v>3.7060000000000008E-5</v>
      </c>
      <c r="I39" s="180">
        <f t="shared" si="0"/>
        <v>3.9705724795543021E-5</v>
      </c>
      <c r="J39" s="180">
        <f t="shared" si="2"/>
        <v>1.7391107460447845E-4</v>
      </c>
      <c r="K39" s="182">
        <f t="shared" si="3"/>
        <v>1.7391107460447845E-4</v>
      </c>
      <c r="L39" s="422"/>
    </row>
    <row r="40" spans="1:18" s="172" customFormat="1" x14ac:dyDescent="0.2">
      <c r="A40" s="967"/>
      <c r="B40" s="178" t="s">
        <v>136</v>
      </c>
      <c r="C40" s="179">
        <v>5.2500000000000003E-3</v>
      </c>
      <c r="D40" s="179"/>
      <c r="E40" s="179">
        <v>5.2500000000000003E-3</v>
      </c>
      <c r="F40" s="179">
        <f t="shared" ref="F40:F49" si="7">C40*$B$9</f>
        <v>2.6250000000000004E-4</v>
      </c>
      <c r="G40" s="179"/>
      <c r="H40" s="179">
        <f t="shared" si="6"/>
        <v>1.7850000000000003E-3</v>
      </c>
      <c r="I40" s="180">
        <f t="shared" si="0"/>
        <v>1.7850000000000003E-3</v>
      </c>
      <c r="J40" s="180">
        <f t="shared" si="2"/>
        <v>7.818300000000002E-3</v>
      </c>
      <c r="K40" s="182">
        <f t="shared" si="3"/>
        <v>7.818300000000002E-3</v>
      </c>
      <c r="L40" s="422"/>
      <c r="R40" s="181"/>
    </row>
    <row r="41" spans="1:18" s="172" customFormat="1" x14ac:dyDescent="0.2">
      <c r="A41" s="967"/>
      <c r="B41" s="178" t="s">
        <v>137</v>
      </c>
      <c r="C41" s="179">
        <v>2.0000000000000001E-4</v>
      </c>
      <c r="D41" s="179">
        <f>(0.000004)*$H$8/1000</f>
        <v>5.6002E-10</v>
      </c>
      <c r="E41" s="179">
        <v>1.32E-3</v>
      </c>
      <c r="F41" s="179">
        <f t="shared" si="7"/>
        <v>1.0000000000000001E-5</v>
      </c>
      <c r="G41" s="179">
        <f t="shared" si="5"/>
        <v>2.0400000000000002E-10</v>
      </c>
      <c r="H41" s="179">
        <f t="shared" si="6"/>
        <v>4.4880000000000001E-4</v>
      </c>
      <c r="I41" s="180">
        <f t="shared" si="0"/>
        <v>4.4880000000000001E-4</v>
      </c>
      <c r="J41" s="180">
        <f t="shared" si="2"/>
        <v>1.9657440000000002E-3</v>
      </c>
      <c r="K41" s="182">
        <f t="shared" si="3"/>
        <v>1.9657440000000002E-3</v>
      </c>
      <c r="L41" s="422"/>
      <c r="R41" s="181"/>
    </row>
    <row r="42" spans="1:18" s="172" customFormat="1" x14ac:dyDescent="0.2">
      <c r="A42" s="967"/>
      <c r="B42" s="178" t="s">
        <v>138</v>
      </c>
      <c r="C42" s="179">
        <v>1.2E-5</v>
      </c>
      <c r="D42" s="179">
        <f>(0.000003)*$H$8/1000</f>
        <v>4.2001499999999997E-10</v>
      </c>
      <c r="E42" s="179">
        <v>2.7800000000000001E-5</v>
      </c>
      <c r="F42" s="179">
        <f t="shared" si="7"/>
        <v>6.0000000000000008E-7</v>
      </c>
      <c r="G42" s="179">
        <f t="shared" si="5"/>
        <v>1.5300000000000001E-10</v>
      </c>
      <c r="H42" s="179">
        <f t="shared" si="6"/>
        <v>9.452000000000002E-6</v>
      </c>
      <c r="I42" s="180">
        <f t="shared" si="0"/>
        <v>9.452000000000002E-6</v>
      </c>
      <c r="J42" s="180">
        <f t="shared" si="2"/>
        <v>4.1399760000000007E-5</v>
      </c>
      <c r="K42" s="182">
        <f t="shared" si="3"/>
        <v>4.1399760000000007E-5</v>
      </c>
      <c r="L42" s="422"/>
      <c r="R42" s="181"/>
    </row>
    <row r="43" spans="1:18" s="172" customFormat="1" x14ac:dyDescent="0.2">
      <c r="A43" s="967"/>
      <c r="B43" s="178" t="s">
        <v>139</v>
      </c>
      <c r="C43" s="179">
        <v>1.1000000000000001E-3</v>
      </c>
      <c r="D43" s="179">
        <f>(0.000003)*$H$8/1000</f>
        <v>4.2001499999999997E-10</v>
      </c>
      <c r="E43" s="179">
        <v>3.9800000000000002E-4</v>
      </c>
      <c r="F43" s="179">
        <f t="shared" si="7"/>
        <v>5.5000000000000009E-5</v>
      </c>
      <c r="G43" s="179">
        <f t="shared" si="5"/>
        <v>1.5300000000000001E-10</v>
      </c>
      <c r="H43" s="179">
        <f t="shared" si="6"/>
        <v>1.3532000000000003E-4</v>
      </c>
      <c r="I43" s="180">
        <f t="shared" si="0"/>
        <v>1.3532000000000003E-4</v>
      </c>
      <c r="J43" s="180">
        <f t="shared" si="2"/>
        <v>5.9270160000000015E-4</v>
      </c>
      <c r="K43" s="182">
        <f t="shared" si="3"/>
        <v>5.9270160000000015E-4</v>
      </c>
      <c r="L43" s="422"/>
      <c r="R43" s="181"/>
    </row>
    <row r="44" spans="1:18" s="172" customFormat="1" x14ac:dyDescent="0.2">
      <c r="A44" s="967"/>
      <c r="B44" s="178" t="s">
        <v>140</v>
      </c>
      <c r="C44" s="179">
        <v>1.4E-3</v>
      </c>
      <c r="D44" s="179">
        <f>(0.000003)*$H$8/1000</f>
        <v>4.2001499999999997E-10</v>
      </c>
      <c r="E44" s="179">
        <f>0.000845+0.000248</f>
        <v>1.093E-3</v>
      </c>
      <c r="F44" s="179">
        <f t="shared" si="7"/>
        <v>7.0000000000000007E-5</v>
      </c>
      <c r="G44" s="179">
        <f t="shared" si="5"/>
        <v>1.5300000000000001E-10</v>
      </c>
      <c r="H44" s="179">
        <f t="shared" si="6"/>
        <v>3.7162000000000002E-4</v>
      </c>
      <c r="I44" s="180">
        <f t="shared" ref="I44:I61" si="8">MAX(F44:H44)</f>
        <v>3.7162000000000002E-4</v>
      </c>
      <c r="J44" s="180">
        <f t="shared" si="2"/>
        <v>1.6276956E-3</v>
      </c>
      <c r="K44" s="182">
        <f t="shared" si="3"/>
        <v>1.6276956E-3</v>
      </c>
      <c r="L44" s="422"/>
      <c r="R44" s="181"/>
    </row>
    <row r="45" spans="1:18" s="172" customFormat="1" x14ac:dyDescent="0.2">
      <c r="A45" s="967"/>
      <c r="B45" s="178" t="s">
        <v>141</v>
      </c>
      <c r="C45" s="179">
        <v>8.3999999999999995E-5</v>
      </c>
      <c r="D45" s="179"/>
      <c r="E45" s="179">
        <v>6.0200000000000002E-3</v>
      </c>
      <c r="F45" s="179">
        <f t="shared" si="7"/>
        <v>4.1999999999999996E-6</v>
      </c>
      <c r="G45" s="179">
        <f t="shared" si="5"/>
        <v>0</v>
      </c>
      <c r="H45" s="179">
        <f t="shared" si="6"/>
        <v>2.0468000000000001E-3</v>
      </c>
      <c r="I45" s="180">
        <f t="shared" si="8"/>
        <v>2.0468000000000001E-3</v>
      </c>
      <c r="J45" s="180">
        <f t="shared" si="2"/>
        <v>8.9649840000000005E-3</v>
      </c>
      <c r="K45" s="182">
        <f t="shared" si="3"/>
        <v>8.9649840000000005E-3</v>
      </c>
      <c r="N45" s="323"/>
      <c r="O45" s="124"/>
      <c r="P45" s="150"/>
      <c r="R45" s="181"/>
    </row>
    <row r="46" spans="1:18" s="172" customFormat="1" x14ac:dyDescent="0.2">
      <c r="A46" s="967"/>
      <c r="B46" s="178" t="s">
        <v>142</v>
      </c>
      <c r="C46" s="179">
        <v>3.8000000000000002E-4</v>
      </c>
      <c r="D46" s="179">
        <f>(0.000006)*$H$8/1000</f>
        <v>8.4002999999999994E-10</v>
      </c>
      <c r="E46" s="179">
        <v>3.0000000000000001E-3</v>
      </c>
      <c r="F46" s="179">
        <f t="shared" si="7"/>
        <v>1.9000000000000001E-5</v>
      </c>
      <c r="G46" s="179">
        <f t="shared" si="5"/>
        <v>3.0600000000000003E-10</v>
      </c>
      <c r="H46" s="179">
        <f t="shared" si="6"/>
        <v>1.0200000000000001E-3</v>
      </c>
      <c r="I46" s="180">
        <f t="shared" si="8"/>
        <v>1.0200000000000001E-3</v>
      </c>
      <c r="J46" s="180">
        <f t="shared" si="2"/>
        <v>4.4676000000000004E-3</v>
      </c>
      <c r="K46" s="182">
        <f t="shared" si="3"/>
        <v>4.4676000000000004E-3</v>
      </c>
      <c r="N46" s="323"/>
      <c r="O46" s="323"/>
      <c r="P46" s="323"/>
      <c r="R46" s="181"/>
    </row>
    <row r="47" spans="1:18" s="172" customFormat="1" x14ac:dyDescent="0.2">
      <c r="A47" s="967"/>
      <c r="B47" s="178" t="s">
        <v>143</v>
      </c>
      <c r="C47" s="183">
        <v>2.5999999999999998E-4</v>
      </c>
      <c r="D47" s="179">
        <f>(0.000003)*$H$8/1000</f>
        <v>4.2001499999999997E-10</v>
      </c>
      <c r="E47" s="183">
        <v>1.13E-4</v>
      </c>
      <c r="F47" s="179">
        <f t="shared" si="7"/>
        <v>1.2999999999999999E-5</v>
      </c>
      <c r="G47" s="179">
        <f t="shared" si="5"/>
        <v>1.5300000000000001E-10</v>
      </c>
      <c r="H47" s="179">
        <f t="shared" si="6"/>
        <v>3.8420000000000001E-5</v>
      </c>
      <c r="I47" s="180">
        <f t="shared" si="8"/>
        <v>3.8420000000000001E-5</v>
      </c>
      <c r="J47" s="182">
        <f t="shared" si="2"/>
        <v>1.6827960000000001E-4</v>
      </c>
      <c r="K47" s="182">
        <f t="shared" si="3"/>
        <v>1.6827960000000001E-4</v>
      </c>
      <c r="N47" s="122"/>
      <c r="O47" s="119"/>
      <c r="P47" s="151"/>
      <c r="Q47" s="169"/>
      <c r="R47" s="185"/>
    </row>
    <row r="48" spans="1:18" s="172" customFormat="1" x14ac:dyDescent="0.2">
      <c r="A48" s="967"/>
      <c r="B48" s="178" t="s">
        <v>144</v>
      </c>
      <c r="C48" s="179">
        <v>2.0999999999999999E-3</v>
      </c>
      <c r="D48" s="179">
        <f>(0.000003)*$H$8/1000</f>
        <v>4.2001499999999997E-10</v>
      </c>
      <c r="E48" s="179">
        <v>8.4500000000000006E-2</v>
      </c>
      <c r="F48" s="179">
        <f t="shared" si="7"/>
        <v>1.05E-4</v>
      </c>
      <c r="G48" s="179">
        <f>D48*$B$8</f>
        <v>1.5300000000000001E-10</v>
      </c>
      <c r="H48" s="179">
        <f t="shared" si="6"/>
        <v>2.8730000000000006E-2</v>
      </c>
      <c r="I48" s="180">
        <f t="shared" si="8"/>
        <v>2.8730000000000006E-2</v>
      </c>
      <c r="J48" s="180">
        <f t="shared" si="2"/>
        <v>0.12583740000000004</v>
      </c>
      <c r="K48" s="182">
        <f t="shared" si="3"/>
        <v>0.12583740000000004</v>
      </c>
      <c r="N48" s="122"/>
      <c r="O48" s="124"/>
      <c r="P48" s="150"/>
      <c r="R48" s="181"/>
    </row>
    <row r="49" spans="1:18" s="172" customFormat="1" x14ac:dyDescent="0.2">
      <c r="A49" s="967"/>
      <c r="B49" s="178" t="s">
        <v>145</v>
      </c>
      <c r="C49" s="179">
        <v>2.4000000000000001E-5</v>
      </c>
      <c r="D49" s="179">
        <f>(0.000015)*$H$8/1000</f>
        <v>2.1000750000000001E-9</v>
      </c>
      <c r="E49" s="179">
        <v>6.8300000000000001E-4</v>
      </c>
      <c r="F49" s="179">
        <f t="shared" si="7"/>
        <v>1.2000000000000002E-6</v>
      </c>
      <c r="G49" s="179">
        <f t="shared" si="5"/>
        <v>7.6500000000000015E-10</v>
      </c>
      <c r="H49" s="179">
        <f t="shared" si="6"/>
        <v>2.3222000000000002E-4</v>
      </c>
      <c r="I49" s="180">
        <f t="shared" si="8"/>
        <v>2.3222000000000002E-4</v>
      </c>
      <c r="J49" s="180">
        <f t="shared" si="2"/>
        <v>1.0171236000000002E-3</v>
      </c>
      <c r="K49" s="182">
        <f t="shared" si="3"/>
        <v>1.0171236000000002E-3</v>
      </c>
      <c r="N49" s="124"/>
      <c r="O49" s="124"/>
      <c r="P49" s="124"/>
      <c r="R49" s="181"/>
    </row>
    <row r="50" spans="1:18" s="172" customFormat="1" x14ac:dyDescent="0.2">
      <c r="A50" s="967"/>
      <c r="B50" s="186" t="s">
        <v>146</v>
      </c>
      <c r="C50" s="179"/>
      <c r="D50" s="179"/>
      <c r="E50" s="179"/>
      <c r="F50" s="263">
        <f>SUM(F12:F49)</f>
        <v>9.4720349999999995E-2</v>
      </c>
      <c r="G50" s="263">
        <f>SUM(G12:G49)</f>
        <v>1.4940520614336632E-2</v>
      </c>
      <c r="H50" s="263">
        <f>SUM(H12:H49)</f>
        <v>5.1979014019999999E-2</v>
      </c>
      <c r="I50" s="187">
        <f t="shared" si="8"/>
        <v>9.4720349999999995E-2</v>
      </c>
      <c r="J50" s="187">
        <f>I50*8760/2000</f>
        <v>0.41487513300000001</v>
      </c>
      <c r="K50" s="188">
        <f>I50*8760/2000</f>
        <v>0.41487513300000001</v>
      </c>
      <c r="N50" s="424"/>
      <c r="O50" s="735"/>
      <c r="P50" s="424"/>
      <c r="R50" s="181"/>
    </row>
    <row r="51" spans="1:18" s="172" customFormat="1" x14ac:dyDescent="0.2">
      <c r="A51" s="967"/>
      <c r="B51" s="186" t="s">
        <v>147</v>
      </c>
      <c r="C51" s="179">
        <v>5.0000000000000001E-4</v>
      </c>
      <c r="D51" s="179">
        <f>(0.000009)*$H$8/1000</f>
        <v>1.2600450000000001E-9</v>
      </c>
      <c r="E51" s="179">
        <v>1.5100000000000001E-3</v>
      </c>
      <c r="F51" s="179">
        <f t="shared" ref="F51:F60" si="9">C51*$B$9</f>
        <v>2.5000000000000001E-5</v>
      </c>
      <c r="G51" s="179">
        <f t="shared" ref="G51:G60" si="10">D51*$B$8</f>
        <v>4.5900000000000007E-10</v>
      </c>
      <c r="H51" s="179">
        <f t="shared" ref="H51:H60" si="11">E51*$B$7</f>
        <v>5.1340000000000001E-4</v>
      </c>
      <c r="I51" s="180">
        <f t="shared" si="8"/>
        <v>5.1340000000000001E-4</v>
      </c>
      <c r="J51" s="180">
        <f t="shared" si="2"/>
        <v>2.2486920000000001E-3</v>
      </c>
      <c r="K51" s="189">
        <f t="shared" si="3"/>
        <v>2.2486920000000001E-3</v>
      </c>
      <c r="N51" s="150"/>
      <c r="O51" s="150"/>
      <c r="P51" s="150"/>
      <c r="R51" s="181"/>
    </row>
    <row r="52" spans="1:18" s="172" customFormat="1" x14ac:dyDescent="0.2">
      <c r="A52" s="967"/>
      <c r="B52" s="186" t="s">
        <v>148</v>
      </c>
      <c r="C52" s="179">
        <v>7.6</v>
      </c>
      <c r="D52" s="117">
        <f>2+1.3</f>
        <v>3.3</v>
      </c>
      <c r="E52" s="179">
        <f>(((1.12*$L$7)+0.37)*8.34)+1.5</f>
        <v>18.597000000000001</v>
      </c>
      <c r="F52" s="179">
        <f t="shared" si="9"/>
        <v>0.38</v>
      </c>
      <c r="G52" s="179">
        <f t="shared" si="10"/>
        <v>1.2020999250026785</v>
      </c>
      <c r="H52" s="179">
        <f t="shared" si="11"/>
        <v>6.3229800000000012</v>
      </c>
      <c r="I52" s="187">
        <f>MAX(F52:H52)</f>
        <v>6.3229800000000012</v>
      </c>
      <c r="J52" s="187">
        <f>I52*8760/2000</f>
        <v>27.694652400000006</v>
      </c>
      <c r="K52" s="188">
        <f t="shared" si="3"/>
        <v>27.694652400000006</v>
      </c>
      <c r="N52" s="424"/>
      <c r="O52" s="424"/>
      <c r="P52" s="424"/>
      <c r="R52" s="181"/>
    </row>
    <row r="53" spans="1:18" s="172" customFormat="1" ht="14.25" x14ac:dyDescent="0.25">
      <c r="A53" s="967"/>
      <c r="B53" s="186" t="s">
        <v>8</v>
      </c>
      <c r="C53" s="179">
        <v>7.6</v>
      </c>
      <c r="D53" s="117">
        <f>1+1.3</f>
        <v>2.2999999999999998</v>
      </c>
      <c r="E53" s="179">
        <f>(((1.12*$L$7)+0.37)*7.17)+1.5</f>
        <v>16.198500000000003</v>
      </c>
      <c r="F53" s="179">
        <f t="shared" si="9"/>
        <v>0.38</v>
      </c>
      <c r="G53" s="179">
        <f t="shared" si="10"/>
        <v>0.83782722045641234</v>
      </c>
      <c r="H53" s="179">
        <f>E53*$B$7</f>
        <v>5.5074900000000016</v>
      </c>
      <c r="I53" s="187">
        <f t="shared" si="8"/>
        <v>5.5074900000000016</v>
      </c>
      <c r="J53" s="187">
        <f t="shared" si="2"/>
        <v>24.122806200000007</v>
      </c>
      <c r="K53" s="188">
        <f t="shared" si="3"/>
        <v>24.122806200000007</v>
      </c>
      <c r="N53" s="424"/>
      <c r="O53" s="424"/>
      <c r="P53" s="424"/>
      <c r="R53" s="181"/>
    </row>
    <row r="54" spans="1:18" s="172" customFormat="1" ht="14.25" x14ac:dyDescent="0.25">
      <c r="A54" s="967"/>
      <c r="B54" s="186" t="s">
        <v>7</v>
      </c>
      <c r="C54" s="179">
        <v>7.6</v>
      </c>
      <c r="D54" s="117">
        <f>0.25+1.3</f>
        <v>1.55</v>
      </c>
      <c r="E54" s="179">
        <f>(((1.12*$L$7)+0.37)*4.67)+1.5</f>
        <v>11.073500000000001</v>
      </c>
      <c r="F54" s="179">
        <f t="shared" si="9"/>
        <v>0.38</v>
      </c>
      <c r="G54" s="179">
        <f t="shared" si="10"/>
        <v>0.56462269204671267</v>
      </c>
      <c r="H54" s="179">
        <f t="shared" si="11"/>
        <v>3.7649900000000005</v>
      </c>
      <c r="I54" s="187">
        <f>MAX(F54:H54)</f>
        <v>3.7649900000000005</v>
      </c>
      <c r="J54" s="187">
        <f t="shared" si="2"/>
        <v>16.4906562</v>
      </c>
      <c r="K54" s="188">
        <f t="shared" si="3"/>
        <v>16.4906562</v>
      </c>
      <c r="N54" s="424"/>
      <c r="O54" s="424"/>
      <c r="P54" s="424"/>
      <c r="R54" s="181"/>
    </row>
    <row r="55" spans="1:18" s="172" customFormat="1" ht="14.25" x14ac:dyDescent="0.25">
      <c r="A55" s="967"/>
      <c r="B55" s="186" t="s">
        <v>220</v>
      </c>
      <c r="C55" s="179">
        <v>0.6</v>
      </c>
      <c r="D55" s="179">
        <f>142*L8</f>
        <v>71</v>
      </c>
      <c r="E55" s="179">
        <f>157*L7</f>
        <v>235.5</v>
      </c>
      <c r="F55" s="183">
        <f t="shared" si="9"/>
        <v>0.03</v>
      </c>
      <c r="G55" s="183">
        <f t="shared" si="10"/>
        <v>25.863362022784905</v>
      </c>
      <c r="H55" s="183">
        <f>E55*$B$7</f>
        <v>80.070000000000007</v>
      </c>
      <c r="I55" s="190">
        <f>MAX(F55:H55)</f>
        <v>80.070000000000007</v>
      </c>
      <c r="J55" s="190">
        <f t="shared" si="2"/>
        <v>350.70660000000004</v>
      </c>
      <c r="K55" s="188">
        <f t="shared" si="3"/>
        <v>350.70660000000004</v>
      </c>
      <c r="N55" s="424"/>
      <c r="O55" s="424"/>
      <c r="P55" s="424"/>
      <c r="R55" s="181"/>
    </row>
    <row r="56" spans="1:18" s="172" customFormat="1" x14ac:dyDescent="0.2">
      <c r="A56" s="967"/>
      <c r="B56" s="186" t="s">
        <v>152</v>
      </c>
      <c r="C56" s="179">
        <v>100</v>
      </c>
      <c r="D56" s="179">
        <v>20</v>
      </c>
      <c r="E56" s="179">
        <v>55</v>
      </c>
      <c r="F56" s="183">
        <f t="shared" si="9"/>
        <v>5</v>
      </c>
      <c r="G56" s="183">
        <f t="shared" si="10"/>
        <v>7.2854540909253256</v>
      </c>
      <c r="H56" s="183">
        <f t="shared" si="11"/>
        <v>18.700000000000003</v>
      </c>
      <c r="I56" s="190">
        <f t="shared" si="8"/>
        <v>18.700000000000003</v>
      </c>
      <c r="J56" s="190">
        <f t="shared" si="2"/>
        <v>81.90600000000002</v>
      </c>
      <c r="K56" s="188">
        <f t="shared" si="3"/>
        <v>81.90600000000002</v>
      </c>
      <c r="N56" s="424"/>
      <c r="O56" s="424"/>
      <c r="P56" s="424"/>
      <c r="R56" s="181"/>
    </row>
    <row r="57" spans="1:18" s="172" customFormat="1" x14ac:dyDescent="0.2">
      <c r="A57" s="967"/>
      <c r="B57" s="186" t="s">
        <v>6</v>
      </c>
      <c r="C57" s="179">
        <v>5.5</v>
      </c>
      <c r="D57" s="179">
        <v>0.34</v>
      </c>
      <c r="E57" s="183">
        <v>0.28000000000000003</v>
      </c>
      <c r="F57" s="183">
        <f t="shared" si="9"/>
        <v>0.27500000000000002</v>
      </c>
      <c r="G57" s="183">
        <f t="shared" si="10"/>
        <v>0.12385271954573053</v>
      </c>
      <c r="H57" s="183">
        <f t="shared" si="11"/>
        <v>9.5200000000000021E-2</v>
      </c>
      <c r="I57" s="190">
        <f t="shared" si="8"/>
        <v>0.27500000000000002</v>
      </c>
      <c r="J57" s="190">
        <f>I57*8760/2000</f>
        <v>1.2044999999999999</v>
      </c>
      <c r="K57" s="188">
        <f>I57*8760/2000</f>
        <v>1.2044999999999999</v>
      </c>
      <c r="N57" s="424"/>
      <c r="O57" s="424"/>
      <c r="P57" s="424"/>
      <c r="R57" s="181"/>
    </row>
    <row r="58" spans="1:18" s="172" customFormat="1" x14ac:dyDescent="0.2">
      <c r="A58" s="967"/>
      <c r="B58" s="186" t="s">
        <v>189</v>
      </c>
      <c r="C58" s="179">
        <v>84</v>
      </c>
      <c r="D58" s="183">
        <v>5</v>
      </c>
      <c r="E58" s="179">
        <v>5</v>
      </c>
      <c r="F58" s="183">
        <f t="shared" si="9"/>
        <v>4.2</v>
      </c>
      <c r="G58" s="183">
        <f t="shared" si="10"/>
        <v>1.8213635227313314</v>
      </c>
      <c r="H58" s="183">
        <f t="shared" si="11"/>
        <v>1.7000000000000002</v>
      </c>
      <c r="I58" s="190">
        <f t="shared" si="8"/>
        <v>4.2</v>
      </c>
      <c r="J58" s="190">
        <f t="shared" si="2"/>
        <v>18.396000000000001</v>
      </c>
      <c r="K58" s="188">
        <f>I58*8760/2000</f>
        <v>18.396000000000001</v>
      </c>
      <c r="N58" s="424"/>
      <c r="O58" s="424"/>
      <c r="P58" s="424"/>
      <c r="R58" s="191"/>
    </row>
    <row r="59" spans="1:18" s="172" customFormat="1" ht="14.25" x14ac:dyDescent="0.25">
      <c r="A59" s="967"/>
      <c r="B59" s="186" t="s">
        <v>237</v>
      </c>
      <c r="C59" s="179">
        <v>120000</v>
      </c>
      <c r="D59" s="179">
        <v>22300</v>
      </c>
      <c r="E59" s="179">
        <v>24400</v>
      </c>
      <c r="F59" s="179">
        <f t="shared" si="9"/>
        <v>6000</v>
      </c>
      <c r="G59" s="179">
        <f t="shared" si="10"/>
        <v>8123.2813113817374</v>
      </c>
      <c r="H59" s="179">
        <f>E59*$B$7</f>
        <v>8296</v>
      </c>
      <c r="I59" s="192">
        <f t="shared" si="8"/>
        <v>8296</v>
      </c>
      <c r="J59" s="192">
        <f t="shared" si="2"/>
        <v>36336.480000000003</v>
      </c>
      <c r="K59" s="193">
        <f>I59*8760/2000</f>
        <v>36336.480000000003</v>
      </c>
      <c r="N59" s="424"/>
      <c r="O59" s="424"/>
      <c r="P59" s="424"/>
      <c r="Q59" s="196"/>
      <c r="R59" s="196"/>
    </row>
    <row r="60" spans="1:18" s="172" customFormat="1" ht="14.25" x14ac:dyDescent="0.25">
      <c r="A60" s="967"/>
      <c r="B60" s="186" t="s">
        <v>238</v>
      </c>
      <c r="C60" s="179">
        <v>2.2999999999999998</v>
      </c>
      <c r="D60" s="179">
        <v>5.1999999999999998E-2</v>
      </c>
      <c r="E60" s="179">
        <v>1</v>
      </c>
      <c r="F60" s="179">
        <f t="shared" si="9"/>
        <v>0.11499999999999999</v>
      </c>
      <c r="G60" s="179">
        <f t="shared" si="10"/>
        <v>1.8942180636405844E-2</v>
      </c>
      <c r="H60" s="179">
        <f t="shared" si="11"/>
        <v>0.34</v>
      </c>
      <c r="I60" s="197">
        <f t="shared" si="8"/>
        <v>0.34</v>
      </c>
      <c r="J60" s="187">
        <f t="shared" si="2"/>
        <v>1.4892000000000001</v>
      </c>
      <c r="K60" s="188">
        <f>I60*8760/2000</f>
        <v>1.4892000000000001</v>
      </c>
      <c r="N60" s="424"/>
      <c r="O60" s="424"/>
      <c r="P60" s="150"/>
      <c r="Q60" s="196"/>
      <c r="R60" s="196"/>
    </row>
    <row r="61" spans="1:18" s="172" customFormat="1" ht="14.25" x14ac:dyDescent="0.25">
      <c r="A61" s="967"/>
      <c r="B61" s="186" t="s">
        <v>239</v>
      </c>
      <c r="C61" s="179">
        <v>2.2000000000000002</v>
      </c>
      <c r="D61" s="179">
        <v>0.26</v>
      </c>
      <c r="E61" s="179">
        <v>0.53</v>
      </c>
      <c r="F61" s="179">
        <f>C61*$B$9</f>
        <v>0.11000000000000001</v>
      </c>
      <c r="G61" s="179">
        <f>D61*$B$8</f>
        <v>9.4710903182029224E-2</v>
      </c>
      <c r="H61" s="179">
        <f>E61*$B$7</f>
        <v>0.18020000000000003</v>
      </c>
      <c r="I61" s="197">
        <f t="shared" si="8"/>
        <v>0.18020000000000003</v>
      </c>
      <c r="J61" s="187">
        <f t="shared" si="2"/>
        <v>0.78927600000000009</v>
      </c>
      <c r="K61" s="188">
        <f>I61*8760/2000</f>
        <v>0.78927600000000009</v>
      </c>
      <c r="N61" s="424"/>
      <c r="O61" s="424"/>
      <c r="P61" s="150"/>
      <c r="Q61" s="196"/>
      <c r="R61" s="196"/>
    </row>
    <row r="62" spans="1:18" s="172" customFormat="1" x14ac:dyDescent="0.2">
      <c r="A62" s="967"/>
      <c r="B62" s="186" t="s">
        <v>158</v>
      </c>
      <c r="C62" s="179"/>
      <c r="D62" s="179"/>
      <c r="E62" s="179"/>
      <c r="F62" s="179">
        <f t="shared" ref="F62:K62" si="12">SUM(F59:F61)</f>
        <v>6000.2249999999995</v>
      </c>
      <c r="G62" s="179">
        <f t="shared" si="12"/>
        <v>8123.3949644655559</v>
      </c>
      <c r="H62" s="179">
        <f t="shared" si="12"/>
        <v>8296.5202000000008</v>
      </c>
      <c r="I62" s="192">
        <f t="shared" si="12"/>
        <v>8296.5202000000008</v>
      </c>
      <c r="J62" s="192">
        <f t="shared" si="12"/>
        <v>36338.75847600001</v>
      </c>
      <c r="K62" s="193">
        <f t="shared" si="12"/>
        <v>36338.75847600001</v>
      </c>
      <c r="N62" s="424"/>
      <c r="O62" s="424"/>
      <c r="P62" s="153"/>
      <c r="Q62" s="196"/>
      <c r="R62" s="196"/>
    </row>
    <row r="63" spans="1:18" s="172" customFormat="1" ht="14.25" x14ac:dyDescent="0.25">
      <c r="A63" s="967"/>
      <c r="B63" s="186" t="s">
        <v>221</v>
      </c>
      <c r="C63" s="198"/>
      <c r="D63" s="198"/>
      <c r="E63" s="198"/>
      <c r="F63" s="179">
        <f t="shared" ref="F63:K63" si="13">F59+(F60*25)+(F61*298)</f>
        <v>6035.6549999999997</v>
      </c>
      <c r="G63" s="179">
        <f t="shared" si="13"/>
        <v>8151.9787150458924</v>
      </c>
      <c r="H63" s="179">
        <f t="shared" si="13"/>
        <v>8358.1995999999999</v>
      </c>
      <c r="I63" s="192">
        <f t="shared" si="13"/>
        <v>8358.1995999999999</v>
      </c>
      <c r="J63" s="192">
        <f t="shared" si="13"/>
        <v>36608.914248000008</v>
      </c>
      <c r="K63" s="193">
        <f t="shared" si="13"/>
        <v>36608.914248000008</v>
      </c>
      <c r="N63" s="424"/>
      <c r="O63" s="424"/>
      <c r="P63" s="424"/>
      <c r="Q63" s="196"/>
      <c r="R63" s="196"/>
    </row>
    <row r="64" spans="1:18" s="172" customFormat="1" ht="14.25" hidden="1" x14ac:dyDescent="0.2">
      <c r="A64" s="199" t="s">
        <v>241</v>
      </c>
      <c r="C64" s="200"/>
    </row>
    <row r="65" spans="1:18" s="169" customFormat="1" ht="18" x14ac:dyDescent="0.25">
      <c r="A65" s="966" t="s">
        <v>11</v>
      </c>
      <c r="B65" s="966"/>
      <c r="C65" s="966"/>
      <c r="D65" s="966"/>
      <c r="E65" s="966"/>
      <c r="F65" s="966"/>
      <c r="G65" s="966"/>
      <c r="H65" s="966"/>
      <c r="I65" s="966"/>
      <c r="J65" s="966"/>
      <c r="K65" s="966"/>
      <c r="L65" s="966"/>
      <c r="M65" s="966"/>
    </row>
    <row r="66" spans="1:18" s="169" customFormat="1" ht="15.75" x14ac:dyDescent="0.25">
      <c r="A66" s="964" t="s">
        <v>648</v>
      </c>
      <c r="B66" s="964"/>
      <c r="C66" s="964"/>
      <c r="D66" s="964"/>
      <c r="E66" s="964"/>
      <c r="F66" s="964"/>
      <c r="G66" s="964"/>
      <c r="H66" s="964"/>
      <c r="I66" s="964"/>
      <c r="J66" s="964"/>
      <c r="K66" s="964"/>
      <c r="L66" s="964"/>
      <c r="M66" s="964"/>
    </row>
    <row r="67" spans="1:18" s="169" customFormat="1" ht="15.75" x14ac:dyDescent="0.25">
      <c r="A67" s="964" t="s">
        <v>304</v>
      </c>
      <c r="B67" s="964"/>
      <c r="C67" s="964"/>
      <c r="D67" s="964"/>
      <c r="E67" s="964"/>
      <c r="F67" s="964"/>
      <c r="G67" s="964"/>
      <c r="H67" s="964"/>
      <c r="I67" s="964"/>
      <c r="J67" s="964"/>
      <c r="K67" s="964"/>
      <c r="L67" s="964"/>
      <c r="M67" s="964"/>
    </row>
    <row r="68" spans="1:18" s="172" customFormat="1" x14ac:dyDescent="0.2">
      <c r="A68" s="170" t="s">
        <v>90</v>
      </c>
      <c r="I68" s="201" t="s">
        <v>161</v>
      </c>
    </row>
    <row r="69" spans="1:18" s="172" customFormat="1" x14ac:dyDescent="0.2">
      <c r="A69" s="169" t="s">
        <v>91</v>
      </c>
      <c r="B69" s="169">
        <v>5</v>
      </c>
      <c r="C69" s="169" t="s">
        <v>52</v>
      </c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</row>
    <row r="70" spans="1:18" s="172" customFormat="1" x14ac:dyDescent="0.2">
      <c r="A70" s="169" t="s">
        <v>96</v>
      </c>
      <c r="B70" s="169">
        <f>B69/H70/1000</f>
        <v>3.5713010249633949E-2</v>
      </c>
      <c r="C70" s="169" t="s">
        <v>93</v>
      </c>
      <c r="D70" s="169"/>
      <c r="E70" s="169" t="s">
        <v>97</v>
      </c>
      <c r="F70" s="169"/>
      <c r="G70" s="169"/>
      <c r="H70" s="169">
        <f>140005/1000000</f>
        <v>0.14000499999999999</v>
      </c>
      <c r="I70" s="169" t="s">
        <v>95</v>
      </c>
      <c r="K70" s="169" t="s">
        <v>226</v>
      </c>
      <c r="L70" s="174">
        <v>0.5</v>
      </c>
      <c r="M70" s="169" t="s">
        <v>225</v>
      </c>
      <c r="N70" s="169"/>
      <c r="O70" s="169"/>
      <c r="P70" s="169"/>
      <c r="Q70" s="169"/>
      <c r="R70" s="169"/>
    </row>
    <row r="71" spans="1:18" s="172" customFormat="1" x14ac:dyDescent="0.2">
      <c r="A71" s="169" t="s">
        <v>98</v>
      </c>
      <c r="B71" s="169">
        <f>B69/H71</f>
        <v>4.9019607843137254E-3</v>
      </c>
      <c r="C71" s="169" t="s">
        <v>99</v>
      </c>
      <c r="D71" s="169"/>
      <c r="E71" s="169" t="s">
        <v>100</v>
      </c>
      <c r="F71" s="169"/>
      <c r="G71" s="169"/>
      <c r="H71" s="169">
        <v>1020</v>
      </c>
      <c r="I71" s="169" t="s">
        <v>101</v>
      </c>
      <c r="K71" s="169"/>
      <c r="L71" s="169"/>
      <c r="M71" s="169"/>
      <c r="N71" s="169"/>
      <c r="O71" s="169"/>
      <c r="P71" s="169"/>
      <c r="Q71" s="169"/>
      <c r="R71" s="169"/>
    </row>
    <row r="72" spans="1:18" s="176" customFormat="1" ht="63.75" x14ac:dyDescent="0.2">
      <c r="A72" s="175" t="s">
        <v>102</v>
      </c>
      <c r="B72" s="175" t="s">
        <v>10</v>
      </c>
      <c r="C72" s="175" t="s">
        <v>104</v>
      </c>
      <c r="D72" s="175" t="s">
        <v>103</v>
      </c>
      <c r="E72" s="175" t="s">
        <v>107</v>
      </c>
      <c r="F72" s="175" t="s">
        <v>168</v>
      </c>
      <c r="G72" s="175" t="s">
        <v>170</v>
      </c>
      <c r="H72" s="175" t="s">
        <v>110</v>
      </c>
      <c r="I72" s="175" t="s">
        <v>111</v>
      </c>
    </row>
    <row r="73" spans="1:18" s="172" customFormat="1" x14ac:dyDescent="0.2">
      <c r="A73" s="967" t="s">
        <v>657</v>
      </c>
      <c r="B73" s="178" t="s">
        <v>113</v>
      </c>
      <c r="C73" s="179">
        <v>2.1100000000000001E-5</v>
      </c>
      <c r="D73" s="179">
        <v>1.7999999999999999E-6</v>
      </c>
      <c r="E73" s="202">
        <f>C73*$B$70</f>
        <v>7.5354451626727636E-7</v>
      </c>
      <c r="F73" s="202">
        <f>D73*$B$71</f>
        <v>8.823529411764706E-9</v>
      </c>
      <c r="G73" s="203">
        <f t="shared" ref="G73:G95" si="14">MAX(E73:F73)</f>
        <v>7.5354451626727636E-7</v>
      </c>
      <c r="H73" s="180">
        <f t="shared" ref="H73:H100" si="15">G73*8760/2000</f>
        <v>3.3005249812506704E-6</v>
      </c>
      <c r="I73" s="180">
        <f t="shared" ref="I73:I100" si="16">G73*8760/2000</f>
        <v>3.3005249812506704E-6</v>
      </c>
      <c r="J73" s="169"/>
    </row>
    <row r="74" spans="1:18" s="172" customFormat="1" x14ac:dyDescent="0.2">
      <c r="A74" s="967"/>
      <c r="B74" s="178" t="s">
        <v>114</v>
      </c>
      <c r="C74" s="179">
        <v>2.53E-7</v>
      </c>
      <c r="D74" s="179">
        <v>1.7999999999999999E-6</v>
      </c>
      <c r="E74" s="202">
        <f>C74*$B$70</f>
        <v>9.0353915931573885E-9</v>
      </c>
      <c r="F74" s="202">
        <f>D74*$B$71</f>
        <v>8.823529411764706E-9</v>
      </c>
      <c r="G74" s="203">
        <f t="shared" si="14"/>
        <v>9.0353915931573885E-9</v>
      </c>
      <c r="H74" s="180">
        <f t="shared" si="15"/>
        <v>3.9575015178029355E-8</v>
      </c>
      <c r="I74" s="180">
        <f t="shared" si="16"/>
        <v>3.9575015178029355E-8</v>
      </c>
      <c r="J74" s="169"/>
    </row>
    <row r="75" spans="1:18" s="172" customFormat="1" x14ac:dyDescent="0.2">
      <c r="A75" s="967"/>
      <c r="B75" s="178" t="s">
        <v>115</v>
      </c>
      <c r="C75" s="179">
        <v>1.22E-6</v>
      </c>
      <c r="D75" s="179">
        <v>2.3999999999999999E-6</v>
      </c>
      <c r="E75" s="202">
        <f>C75*$B$70</f>
        <v>4.3569872504553417E-8</v>
      </c>
      <c r="F75" s="202">
        <f t="shared" ref="F75:F81" si="17">D75*$B$71</f>
        <v>1.1764705882352941E-8</v>
      </c>
      <c r="G75" s="203">
        <f t="shared" si="14"/>
        <v>4.3569872504553417E-8</v>
      </c>
      <c r="H75" s="180">
        <f t="shared" si="15"/>
        <v>1.9083604156994398E-7</v>
      </c>
      <c r="I75" s="180">
        <f t="shared" si="16"/>
        <v>1.9083604156994398E-7</v>
      </c>
      <c r="J75" s="169"/>
    </row>
    <row r="76" spans="1:18" s="172" customFormat="1" x14ac:dyDescent="0.2">
      <c r="A76" s="967"/>
      <c r="B76" s="178" t="s">
        <v>116</v>
      </c>
      <c r="C76" s="179">
        <v>4.0099999999999997E-6</v>
      </c>
      <c r="D76" s="179">
        <v>1.7999999999999999E-6</v>
      </c>
      <c r="E76" s="202">
        <f>C76*$B$70</f>
        <v>1.4320917110103211E-7</v>
      </c>
      <c r="F76" s="202">
        <f t="shared" si="17"/>
        <v>8.823529411764706E-9</v>
      </c>
      <c r="G76" s="203">
        <f t="shared" si="14"/>
        <v>1.4320917110103211E-7</v>
      </c>
      <c r="H76" s="180">
        <f t="shared" si="15"/>
        <v>6.2725616942252073E-7</v>
      </c>
      <c r="I76" s="180">
        <f t="shared" si="16"/>
        <v>6.2725616942252073E-7</v>
      </c>
      <c r="J76" s="199"/>
    </row>
    <row r="77" spans="1:18" s="172" customFormat="1" x14ac:dyDescent="0.2">
      <c r="A77" s="967"/>
      <c r="B77" s="178" t="s">
        <v>117</v>
      </c>
      <c r="C77" s="179">
        <v>2.14E-4</v>
      </c>
      <c r="D77" s="179">
        <v>2.0999999999999999E-3</v>
      </c>
      <c r="E77" s="202">
        <f>C77*$B$70</f>
        <v>7.6425841934216658E-6</v>
      </c>
      <c r="F77" s="202">
        <f t="shared" si="17"/>
        <v>1.0294117647058823E-5</v>
      </c>
      <c r="G77" s="203">
        <f t="shared" si="14"/>
        <v>1.0294117647058823E-5</v>
      </c>
      <c r="H77" s="180">
        <f t="shared" si="15"/>
        <v>4.5088235294117644E-5</v>
      </c>
      <c r="I77" s="180">
        <f t="shared" si="16"/>
        <v>4.5088235294117644E-5</v>
      </c>
      <c r="J77" s="199"/>
    </row>
    <row r="78" spans="1:18" s="172" customFormat="1" x14ac:dyDescent="0.2">
      <c r="A78" s="967"/>
      <c r="B78" s="204" t="s">
        <v>118</v>
      </c>
      <c r="C78" s="179"/>
      <c r="D78" s="179">
        <v>1.1999999999999999E-6</v>
      </c>
      <c r="E78" s="202"/>
      <c r="F78" s="202">
        <f t="shared" si="17"/>
        <v>5.8823529411764704E-9</v>
      </c>
      <c r="G78" s="203">
        <f t="shared" si="14"/>
        <v>5.8823529411764704E-9</v>
      </c>
      <c r="H78" s="180">
        <f t="shared" si="15"/>
        <v>2.5764705882352942E-8</v>
      </c>
      <c r="I78" s="180">
        <f t="shared" si="16"/>
        <v>2.5764705882352942E-8</v>
      </c>
      <c r="J78" s="199"/>
    </row>
    <row r="79" spans="1:18" s="172" customFormat="1" x14ac:dyDescent="0.2">
      <c r="A79" s="967"/>
      <c r="B79" s="178" t="s">
        <v>119</v>
      </c>
      <c r="C79" s="179">
        <v>1.48E-6</v>
      </c>
      <c r="D79" s="179">
        <v>1.7999999999999999E-6</v>
      </c>
      <c r="E79" s="202">
        <f>C79*$B$70</f>
        <v>5.2855255169458243E-8</v>
      </c>
      <c r="F79" s="202">
        <f t="shared" si="17"/>
        <v>8.823529411764706E-9</v>
      </c>
      <c r="G79" s="203">
        <f t="shared" si="14"/>
        <v>5.2855255169458243E-8</v>
      </c>
      <c r="H79" s="180">
        <f t="shared" si="15"/>
        <v>2.3150601764222709E-7</v>
      </c>
      <c r="I79" s="180">
        <f t="shared" si="16"/>
        <v>2.3150601764222709E-7</v>
      </c>
      <c r="J79" s="199"/>
    </row>
    <row r="80" spans="1:18" s="172" customFormat="1" x14ac:dyDescent="0.2">
      <c r="A80" s="967"/>
      <c r="B80" s="178" t="s">
        <v>120</v>
      </c>
      <c r="C80" s="179">
        <v>2.26E-6</v>
      </c>
      <c r="D80" s="179">
        <v>1.1999999999999999E-6</v>
      </c>
      <c r="E80" s="202">
        <f>C80*$B$70</f>
        <v>8.0711403164172727E-8</v>
      </c>
      <c r="F80" s="202">
        <f t="shared" si="17"/>
        <v>5.8823529411764704E-9</v>
      </c>
      <c r="G80" s="203">
        <f t="shared" si="14"/>
        <v>8.0711403164172727E-8</v>
      </c>
      <c r="H80" s="180">
        <f t="shared" si="15"/>
        <v>3.5351594585907655E-7</v>
      </c>
      <c r="I80" s="180">
        <f t="shared" si="16"/>
        <v>3.5351594585907655E-7</v>
      </c>
      <c r="J80" s="199"/>
    </row>
    <row r="81" spans="1:10" s="172" customFormat="1" x14ac:dyDescent="0.2">
      <c r="A81" s="967"/>
      <c r="B81" s="178" t="s">
        <v>121</v>
      </c>
      <c r="C81" s="179">
        <v>1.48E-6</v>
      </c>
      <c r="D81" s="179">
        <v>1.7999999999999999E-6</v>
      </c>
      <c r="E81" s="202">
        <f>C81*$B$70</f>
        <v>5.2855255169458243E-8</v>
      </c>
      <c r="F81" s="202">
        <f t="shared" si="17"/>
        <v>8.823529411764706E-9</v>
      </c>
      <c r="G81" s="203">
        <f t="shared" si="14"/>
        <v>5.2855255169458243E-8</v>
      </c>
      <c r="H81" s="180">
        <f t="shared" si="15"/>
        <v>2.3150601764222709E-7</v>
      </c>
      <c r="I81" s="180">
        <f t="shared" si="16"/>
        <v>2.3150601764222709E-7</v>
      </c>
      <c r="J81" s="199"/>
    </row>
    <row r="82" spans="1:10" s="172" customFormat="1" x14ac:dyDescent="0.2">
      <c r="A82" s="967"/>
      <c r="B82" s="178" t="s">
        <v>122</v>
      </c>
      <c r="C82" s="179">
        <v>2.3800000000000001E-6</v>
      </c>
      <c r="D82" s="179">
        <v>1.7999999999999999E-6</v>
      </c>
      <c r="E82" s="202">
        <f>C82*$B$70</f>
        <v>8.4996964394128803E-8</v>
      </c>
      <c r="F82" s="202">
        <f>D82*$B$71</f>
        <v>8.823529411764706E-9</v>
      </c>
      <c r="G82" s="203">
        <f t="shared" si="14"/>
        <v>8.4996964394128803E-8</v>
      </c>
      <c r="H82" s="180">
        <f>G82*8760/2000</f>
        <v>3.7228670404628417E-7</v>
      </c>
      <c r="I82" s="180">
        <f t="shared" si="16"/>
        <v>3.7228670404628417E-7</v>
      </c>
      <c r="J82" s="199"/>
    </row>
    <row r="83" spans="1:10" s="172" customFormat="1" x14ac:dyDescent="0.2">
      <c r="A83" s="967"/>
      <c r="B83" s="178" t="s">
        <v>123</v>
      </c>
      <c r="C83" s="179">
        <v>1.6700000000000001E-6</v>
      </c>
      <c r="D83" s="179">
        <v>1.1999999999999999E-3</v>
      </c>
      <c r="E83" s="202">
        <f>C83*$B$70</f>
        <v>5.9640727116888694E-8</v>
      </c>
      <c r="F83" s="202">
        <f>D83*$B$71</f>
        <v>5.8823529411764701E-6</v>
      </c>
      <c r="G83" s="203">
        <f t="shared" si="14"/>
        <v>5.8823529411764701E-6</v>
      </c>
      <c r="H83" s="180">
        <f t="shared" si="15"/>
        <v>2.5764705882352938E-5</v>
      </c>
      <c r="I83" s="180">
        <f t="shared" si="16"/>
        <v>2.5764705882352938E-5</v>
      </c>
      <c r="J83" s="199"/>
    </row>
    <row r="84" spans="1:10" s="172" customFormat="1" x14ac:dyDescent="0.2">
      <c r="A84" s="967"/>
      <c r="B84" s="178" t="s">
        <v>124</v>
      </c>
      <c r="C84" s="179"/>
      <c r="D84" s="179">
        <v>1.1999999999999999E-3</v>
      </c>
      <c r="E84" s="202"/>
      <c r="F84" s="202">
        <f>D84*$B$71</f>
        <v>5.8823529411764701E-6</v>
      </c>
      <c r="G84" s="203">
        <f t="shared" si="14"/>
        <v>5.8823529411764701E-6</v>
      </c>
      <c r="H84" s="180">
        <f t="shared" si="15"/>
        <v>2.5764705882352938E-5</v>
      </c>
      <c r="I84" s="180">
        <f t="shared" si="16"/>
        <v>2.5764705882352938E-5</v>
      </c>
      <c r="J84" s="199"/>
    </row>
    <row r="85" spans="1:10" s="172" customFormat="1" x14ac:dyDescent="0.2">
      <c r="A85" s="967"/>
      <c r="B85" s="178" t="s">
        <v>214</v>
      </c>
      <c r="C85" s="179"/>
      <c r="D85" s="179">
        <v>1.5999999999999999E-5</v>
      </c>
      <c r="E85" s="202"/>
      <c r="F85" s="202">
        <f>D85*$B$71</f>
        <v>7.8431372549019607E-8</v>
      </c>
      <c r="G85" s="203">
        <f t="shared" si="14"/>
        <v>7.8431372549019607E-8</v>
      </c>
      <c r="H85" s="180">
        <f>G85*8760/2000</f>
        <v>3.4352941176470583E-7</v>
      </c>
      <c r="I85" s="180">
        <f t="shared" si="16"/>
        <v>3.4352941176470583E-7</v>
      </c>
      <c r="J85" s="199"/>
    </row>
    <row r="86" spans="1:10" s="172" customFormat="1" x14ac:dyDescent="0.2">
      <c r="A86" s="967"/>
      <c r="B86" s="178" t="s">
        <v>125</v>
      </c>
      <c r="C86" s="179">
        <v>6.3600000000000001E-5</v>
      </c>
      <c r="D86" s="179"/>
      <c r="E86" s="202">
        <f t="shared" ref="E86:E91" si="18">C86*$B$70</f>
        <v>2.2713474518767194E-6</v>
      </c>
      <c r="F86" s="202"/>
      <c r="G86" s="203">
        <f t="shared" si="14"/>
        <v>2.2713474518767194E-6</v>
      </c>
      <c r="H86" s="180">
        <f t="shared" si="15"/>
        <v>9.9485018392200313E-6</v>
      </c>
      <c r="I86" s="180">
        <f t="shared" si="16"/>
        <v>9.9485018392200313E-6</v>
      </c>
      <c r="J86" s="199"/>
    </row>
    <row r="87" spans="1:10" s="172" customFormat="1" x14ac:dyDescent="0.2">
      <c r="A87" s="967"/>
      <c r="B87" s="178" t="s">
        <v>126</v>
      </c>
      <c r="C87" s="179">
        <v>4.8400000000000002E-6</v>
      </c>
      <c r="D87" s="179">
        <v>3.0000000000000001E-6</v>
      </c>
      <c r="E87" s="202">
        <f t="shared" si="18"/>
        <v>1.7285096960822832E-7</v>
      </c>
      <c r="F87" s="202">
        <f t="shared" ref="F87:F95" si="19">D87*$B$71</f>
        <v>1.4705882352941177E-8</v>
      </c>
      <c r="G87" s="203">
        <f t="shared" si="14"/>
        <v>1.7285096960822832E-7</v>
      </c>
      <c r="H87" s="180">
        <f t="shared" si="15"/>
        <v>7.5708724688404006E-7</v>
      </c>
      <c r="I87" s="180">
        <f t="shared" si="16"/>
        <v>7.5708724688404006E-7</v>
      </c>
      <c r="J87" s="199"/>
    </row>
    <row r="88" spans="1:10" s="172" customFormat="1" x14ac:dyDescent="0.2">
      <c r="A88" s="967"/>
      <c r="B88" s="178" t="s">
        <v>127</v>
      </c>
      <c r="C88" s="179">
        <v>4.4700000000000004E-6</v>
      </c>
      <c r="D88" s="179">
        <v>2.7999999999999999E-6</v>
      </c>
      <c r="E88" s="202">
        <f t="shared" si="18"/>
        <v>1.5963715581586377E-7</v>
      </c>
      <c r="F88" s="202">
        <f t="shared" si="19"/>
        <v>1.3725490196078431E-8</v>
      </c>
      <c r="G88" s="203">
        <f t="shared" si="14"/>
        <v>1.5963715581586377E-7</v>
      </c>
      <c r="H88" s="180">
        <f t="shared" si="15"/>
        <v>6.9921074247348328E-7</v>
      </c>
      <c r="I88" s="180">
        <f t="shared" si="16"/>
        <v>6.9921074247348328E-7</v>
      </c>
      <c r="J88" s="199"/>
    </row>
    <row r="89" spans="1:10" s="172" customFormat="1" x14ac:dyDescent="0.2">
      <c r="A89" s="967"/>
      <c r="B89" s="178" t="s">
        <v>128</v>
      </c>
      <c r="C89" s="179">
        <v>3.3000000000000002E-2</v>
      </c>
      <c r="D89" s="179">
        <v>7.4999999999999997E-2</v>
      </c>
      <c r="E89" s="202">
        <f t="shared" si="18"/>
        <v>1.1785293382379203E-3</v>
      </c>
      <c r="F89" s="202">
        <f t="shared" si="19"/>
        <v>3.6764705882352941E-4</v>
      </c>
      <c r="G89" s="203">
        <f t="shared" si="14"/>
        <v>1.1785293382379203E-3</v>
      </c>
      <c r="H89" s="180">
        <f t="shared" si="15"/>
        <v>5.1619585014820906E-3</v>
      </c>
      <c r="I89" s="180">
        <f t="shared" si="16"/>
        <v>5.1619585014820906E-3</v>
      </c>
      <c r="J89" s="199"/>
    </row>
    <row r="90" spans="1:10" s="172" customFormat="1" x14ac:dyDescent="0.2">
      <c r="A90" s="967"/>
      <c r="B90" s="178" t="s">
        <v>129</v>
      </c>
      <c r="C90" s="179"/>
      <c r="D90" s="179">
        <v>1.8</v>
      </c>
      <c r="E90" s="202">
        <f t="shared" si="18"/>
        <v>0</v>
      </c>
      <c r="F90" s="202">
        <f t="shared" si="19"/>
        <v>8.8235294117647058E-3</v>
      </c>
      <c r="G90" s="203">
        <f t="shared" si="14"/>
        <v>8.8235294117647058E-3</v>
      </c>
      <c r="H90" s="180">
        <f t="shared" si="15"/>
        <v>3.8647058823529416E-2</v>
      </c>
      <c r="I90" s="182">
        <f t="shared" si="16"/>
        <v>3.8647058823529416E-2</v>
      </c>
      <c r="J90" s="199"/>
    </row>
    <row r="91" spans="1:10" s="172" customFormat="1" x14ac:dyDescent="0.2">
      <c r="A91" s="967"/>
      <c r="B91" s="178" t="s">
        <v>130</v>
      </c>
      <c r="C91" s="179">
        <v>2.1399999999999998E-6</v>
      </c>
      <c r="D91" s="179">
        <v>1.7999999999999999E-6</v>
      </c>
      <c r="E91" s="202">
        <f t="shared" si="18"/>
        <v>7.642584193421665E-8</v>
      </c>
      <c r="F91" s="202">
        <f t="shared" si="19"/>
        <v>8.823529411764706E-9</v>
      </c>
      <c r="G91" s="203">
        <f t="shared" si="14"/>
        <v>7.642584193421665E-8</v>
      </c>
      <c r="H91" s="180">
        <f t="shared" si="15"/>
        <v>3.3474518767186893E-7</v>
      </c>
      <c r="I91" s="182">
        <f t="shared" si="16"/>
        <v>3.3474518767186893E-7</v>
      </c>
      <c r="J91" s="199"/>
    </row>
    <row r="92" spans="1:10" s="172" customFormat="1" x14ac:dyDescent="0.2">
      <c r="A92" s="967"/>
      <c r="B92" s="178" t="s">
        <v>216</v>
      </c>
      <c r="C92" s="179"/>
      <c r="D92" s="179">
        <v>2.4000000000000001E-5</v>
      </c>
      <c r="E92" s="202"/>
      <c r="F92" s="202">
        <f t="shared" si="19"/>
        <v>1.1764705882352942E-7</v>
      </c>
      <c r="G92" s="203">
        <f t="shared" si="14"/>
        <v>1.1764705882352942E-7</v>
      </c>
      <c r="H92" s="180">
        <f t="shared" si="15"/>
        <v>5.1529411764705885E-7</v>
      </c>
      <c r="I92" s="182">
        <f t="shared" si="16"/>
        <v>5.1529411764705885E-7</v>
      </c>
      <c r="J92" s="199"/>
    </row>
    <row r="93" spans="1:10" s="172" customFormat="1" x14ac:dyDescent="0.2">
      <c r="A93" s="967"/>
      <c r="B93" s="178" t="s">
        <v>217</v>
      </c>
      <c r="C93" s="179"/>
      <c r="D93" s="179">
        <v>1.7999999999999999E-6</v>
      </c>
      <c r="E93" s="202"/>
      <c r="F93" s="202">
        <f t="shared" si="19"/>
        <v>8.823529411764706E-9</v>
      </c>
      <c r="G93" s="203">
        <f t="shared" si="14"/>
        <v>8.823529411764706E-9</v>
      </c>
      <c r="H93" s="180">
        <f t="shared" si="15"/>
        <v>3.8647058823529411E-8</v>
      </c>
      <c r="I93" s="182">
        <f t="shared" si="16"/>
        <v>3.8647058823529411E-8</v>
      </c>
      <c r="J93" s="199"/>
    </row>
    <row r="94" spans="1:10" s="172" customFormat="1" x14ac:dyDescent="0.2">
      <c r="A94" s="967"/>
      <c r="B94" s="178" t="s">
        <v>131</v>
      </c>
      <c r="C94" s="179">
        <v>1.1299999999999999E-3</v>
      </c>
      <c r="D94" s="179">
        <v>6.0999999999999997E-4</v>
      </c>
      <c r="E94" s="202">
        <f>C94*$B$70</f>
        <v>4.0355701582086361E-5</v>
      </c>
      <c r="F94" s="202">
        <f t="shared" si="19"/>
        <v>2.9901960784313724E-6</v>
      </c>
      <c r="G94" s="203">
        <f t="shared" si="14"/>
        <v>4.0355701582086361E-5</v>
      </c>
      <c r="H94" s="180">
        <f t="shared" si="15"/>
        <v>1.7675797292953827E-4</v>
      </c>
      <c r="I94" s="182">
        <f t="shared" si="16"/>
        <v>1.7675797292953827E-4</v>
      </c>
      <c r="J94" s="199"/>
    </row>
    <row r="95" spans="1:10" s="172" customFormat="1" x14ac:dyDescent="0.2">
      <c r="A95" s="967"/>
      <c r="B95" s="178" t="s">
        <v>132</v>
      </c>
      <c r="C95" s="179">
        <v>1.0499999999999999E-5</v>
      </c>
      <c r="D95" s="179">
        <v>1.7E-5</v>
      </c>
      <c r="E95" s="202">
        <f>C95*$B$70</f>
        <v>3.7498660762115644E-7</v>
      </c>
      <c r="F95" s="202">
        <f t="shared" si="19"/>
        <v>8.3333333333333325E-8</v>
      </c>
      <c r="G95" s="203">
        <f t="shared" si="14"/>
        <v>3.7498660762115644E-7</v>
      </c>
      <c r="H95" s="180">
        <f t="shared" si="15"/>
        <v>1.6424413413806652E-6</v>
      </c>
      <c r="I95" s="182">
        <f t="shared" si="16"/>
        <v>1.6424413413806652E-6</v>
      </c>
      <c r="J95" s="199"/>
    </row>
    <row r="96" spans="1:10" s="172" customFormat="1" x14ac:dyDescent="0.2">
      <c r="A96" s="967"/>
      <c r="B96" s="178" t="s">
        <v>242</v>
      </c>
      <c r="C96" s="179"/>
      <c r="D96" s="179"/>
      <c r="E96" s="202"/>
      <c r="F96" s="202"/>
      <c r="G96" s="203"/>
      <c r="H96" s="180"/>
      <c r="I96" s="182"/>
      <c r="J96" s="199"/>
    </row>
    <row r="97" spans="1:12" s="172" customFormat="1" x14ac:dyDescent="0.2">
      <c r="A97" s="967"/>
      <c r="B97" s="178" t="s">
        <v>133</v>
      </c>
      <c r="C97" s="179">
        <v>4.25E-6</v>
      </c>
      <c r="D97" s="179"/>
      <c r="E97" s="202">
        <f>C97*$B$70</f>
        <v>1.5178029356094429E-7</v>
      </c>
      <c r="F97" s="202"/>
      <c r="G97" s="203">
        <f t="shared" ref="G97:G110" si="20">MAX(E97:F97)</f>
        <v>1.5178029356094429E-7</v>
      </c>
      <c r="H97" s="180">
        <f t="shared" si="15"/>
        <v>6.6479768579693597E-7</v>
      </c>
      <c r="I97" s="182">
        <f t="shared" si="16"/>
        <v>6.6479768579693597E-7</v>
      </c>
      <c r="J97" s="199"/>
    </row>
    <row r="98" spans="1:12" s="172" customFormat="1" x14ac:dyDescent="0.2">
      <c r="A98" s="967"/>
      <c r="B98" s="178" t="s">
        <v>134</v>
      </c>
      <c r="C98" s="179">
        <v>6.1999999999999998E-3</v>
      </c>
      <c r="D98" s="179">
        <v>5.0000000000000004E-6</v>
      </c>
      <c r="E98" s="202"/>
      <c r="F98" s="202">
        <f>D98*$B$71</f>
        <v>2.450980392156863E-8</v>
      </c>
      <c r="G98" s="203">
        <f t="shared" si="20"/>
        <v>2.450980392156863E-8</v>
      </c>
      <c r="H98" s="180">
        <f t="shared" si="15"/>
        <v>1.073529411764706E-7</v>
      </c>
      <c r="I98" s="182">
        <f t="shared" si="16"/>
        <v>1.073529411764706E-7</v>
      </c>
      <c r="J98" s="199"/>
    </row>
    <row r="99" spans="1:12" s="172" customFormat="1" x14ac:dyDescent="0.2">
      <c r="A99" s="967"/>
      <c r="B99" s="178" t="s">
        <v>240</v>
      </c>
      <c r="C99" s="179">
        <v>2.3599999999999999E-4</v>
      </c>
      <c r="D99" s="179"/>
      <c r="E99" s="202">
        <f>C99*$B$70</f>
        <v>8.4282704189136117E-6</v>
      </c>
      <c r="F99" s="202"/>
      <c r="G99" s="203">
        <f>MAX(E99:F99)</f>
        <v>8.4282704189136117E-6</v>
      </c>
      <c r="H99" s="180">
        <f>G99*8760/2000</f>
        <v>3.6915824434841618E-5</v>
      </c>
      <c r="I99" s="182">
        <f t="shared" si="16"/>
        <v>3.6915824434841618E-5</v>
      </c>
      <c r="J99" s="199"/>
    </row>
    <row r="100" spans="1:12" s="172" customFormat="1" x14ac:dyDescent="0.2">
      <c r="A100" s="967"/>
      <c r="B100" s="178" t="s">
        <v>135</v>
      </c>
      <c r="C100" s="179">
        <v>1.0900000000000001E-4</v>
      </c>
      <c r="D100" s="179"/>
      <c r="E100" s="202">
        <f>C100*$B$70</f>
        <v>3.892718117210101E-6</v>
      </c>
      <c r="F100" s="202"/>
      <c r="G100" s="203">
        <f t="shared" si="20"/>
        <v>3.892718117210101E-6</v>
      </c>
      <c r="H100" s="180">
        <f t="shared" si="15"/>
        <v>1.705010535338024E-5</v>
      </c>
      <c r="I100" s="182">
        <f t="shared" si="16"/>
        <v>1.705010535338024E-5</v>
      </c>
      <c r="J100" s="199"/>
    </row>
    <row r="101" spans="1:12" s="172" customFormat="1" x14ac:dyDescent="0.2">
      <c r="A101" s="967"/>
      <c r="B101" s="178" t="s">
        <v>136</v>
      </c>
      <c r="C101" s="179"/>
      <c r="D101" s="179"/>
      <c r="E101" s="202"/>
      <c r="F101" s="202"/>
      <c r="G101" s="203">
        <f t="shared" si="20"/>
        <v>0</v>
      </c>
      <c r="H101" s="180">
        <f>G101*8760/2000</f>
        <v>0</v>
      </c>
      <c r="I101" s="182">
        <f>G101*8760/2000</f>
        <v>0</v>
      </c>
      <c r="J101" s="199"/>
      <c r="L101" s="181"/>
    </row>
    <row r="102" spans="1:12" s="172" customFormat="1" x14ac:dyDescent="0.2">
      <c r="A102" s="967"/>
      <c r="B102" s="178" t="s">
        <v>137</v>
      </c>
      <c r="C102" s="179">
        <f>(0.000004)*$H$8/1000</f>
        <v>5.6002E-10</v>
      </c>
      <c r="D102" s="179">
        <v>2.0000000000000001E-4</v>
      </c>
      <c r="E102" s="202">
        <f t="shared" ref="E102:E110" si="21">C102*$B$70</f>
        <v>2.0000000000000005E-11</v>
      </c>
      <c r="F102" s="202">
        <f t="shared" ref="F102:F110" si="22">D102*$B$71</f>
        <v>9.8039215686274508E-7</v>
      </c>
      <c r="G102" s="203">
        <f t="shared" si="20"/>
        <v>9.8039215686274508E-7</v>
      </c>
      <c r="H102" s="180">
        <f>G102*8760/2000</f>
        <v>4.2941176470588233E-6</v>
      </c>
      <c r="I102" s="182">
        <f>G102*8760/2000</f>
        <v>4.2941176470588233E-6</v>
      </c>
      <c r="J102" s="199"/>
      <c r="L102" s="181"/>
    </row>
    <row r="103" spans="1:12" s="172" customFormat="1" x14ac:dyDescent="0.2">
      <c r="A103" s="967"/>
      <c r="B103" s="178" t="s">
        <v>138</v>
      </c>
      <c r="C103" s="179">
        <f>(0.000003)*$H$8/1000</f>
        <v>4.2001499999999997E-10</v>
      </c>
      <c r="D103" s="179">
        <v>1.2E-5</v>
      </c>
      <c r="E103" s="202">
        <f t="shared" si="21"/>
        <v>1.5000000000000003E-11</v>
      </c>
      <c r="F103" s="202">
        <f t="shared" si="22"/>
        <v>5.8823529411764709E-8</v>
      </c>
      <c r="G103" s="203">
        <f t="shared" si="20"/>
        <v>5.8823529411764709E-8</v>
      </c>
      <c r="H103" s="180">
        <f t="shared" ref="H103:H109" si="23">G103*8760/2000</f>
        <v>2.5764705882352943E-7</v>
      </c>
      <c r="I103" s="182">
        <f t="shared" ref="I103:I113" si="24">G103*8760/2000</f>
        <v>2.5764705882352943E-7</v>
      </c>
      <c r="J103" s="199"/>
      <c r="L103" s="181"/>
    </row>
    <row r="104" spans="1:12" s="172" customFormat="1" x14ac:dyDescent="0.2">
      <c r="A104" s="967"/>
      <c r="B104" s="178" t="s">
        <v>139</v>
      </c>
      <c r="C104" s="179">
        <f>(0.000003)*$H$8/1000</f>
        <v>4.2001499999999997E-10</v>
      </c>
      <c r="D104" s="179">
        <v>1.1000000000000001E-3</v>
      </c>
      <c r="E104" s="202">
        <f t="shared" si="21"/>
        <v>1.5000000000000003E-11</v>
      </c>
      <c r="F104" s="202">
        <f t="shared" si="22"/>
        <v>5.3921568627450987E-6</v>
      </c>
      <c r="G104" s="203">
        <f t="shared" si="20"/>
        <v>5.3921568627450987E-6</v>
      </c>
      <c r="H104" s="180">
        <f t="shared" si="23"/>
        <v>2.3617647058823532E-5</v>
      </c>
      <c r="I104" s="182">
        <f t="shared" si="24"/>
        <v>2.3617647058823532E-5</v>
      </c>
      <c r="J104" s="199"/>
      <c r="L104" s="181"/>
    </row>
    <row r="105" spans="1:12" s="172" customFormat="1" x14ac:dyDescent="0.2">
      <c r="A105" s="967"/>
      <c r="B105" s="178" t="s">
        <v>140</v>
      </c>
      <c r="C105" s="179">
        <f>(0.000003)*$H$8/1000</f>
        <v>4.2001499999999997E-10</v>
      </c>
      <c r="D105" s="179">
        <v>1.4E-3</v>
      </c>
      <c r="E105" s="202">
        <f t="shared" si="21"/>
        <v>1.5000000000000003E-11</v>
      </c>
      <c r="F105" s="202">
        <f t="shared" si="22"/>
        <v>6.8627450980392154E-6</v>
      </c>
      <c r="G105" s="203">
        <f t="shared" si="20"/>
        <v>6.8627450980392154E-6</v>
      </c>
      <c r="H105" s="180">
        <f t="shared" si="23"/>
        <v>3.0058823529411764E-5</v>
      </c>
      <c r="I105" s="182">
        <f t="shared" si="24"/>
        <v>3.0058823529411764E-5</v>
      </c>
      <c r="J105" s="199"/>
      <c r="L105" s="181"/>
    </row>
    <row r="106" spans="1:12" s="172" customFormat="1" x14ac:dyDescent="0.2">
      <c r="A106" s="967"/>
      <c r="B106" s="178" t="s">
        <v>141</v>
      </c>
      <c r="C106" s="179"/>
      <c r="D106" s="179">
        <v>8.3999999999999995E-5</v>
      </c>
      <c r="E106" s="202"/>
      <c r="F106" s="202">
        <f t="shared" si="22"/>
        <v>4.1176470588235289E-7</v>
      </c>
      <c r="G106" s="203">
        <f t="shared" si="20"/>
        <v>4.1176470588235289E-7</v>
      </c>
      <c r="H106" s="180">
        <f t="shared" si="23"/>
        <v>1.8035294117647058E-6</v>
      </c>
      <c r="I106" s="182">
        <f t="shared" si="24"/>
        <v>1.8035294117647058E-6</v>
      </c>
      <c r="J106" s="199"/>
      <c r="L106" s="181"/>
    </row>
    <row r="107" spans="1:12" s="172" customFormat="1" x14ac:dyDescent="0.2">
      <c r="A107" s="967"/>
      <c r="B107" s="178" t="s">
        <v>142</v>
      </c>
      <c r="C107" s="179">
        <f>(0.000006)*$H$8/1000</f>
        <v>8.4002999999999994E-10</v>
      </c>
      <c r="D107" s="179">
        <v>3.8000000000000002E-4</v>
      </c>
      <c r="E107" s="202">
        <f t="shared" si="21"/>
        <v>3.0000000000000006E-11</v>
      </c>
      <c r="F107" s="202">
        <f t="shared" si="22"/>
        <v>1.8627450980392158E-6</v>
      </c>
      <c r="G107" s="203">
        <f t="shared" si="20"/>
        <v>1.8627450980392158E-6</v>
      </c>
      <c r="H107" s="180">
        <f t="shared" si="23"/>
        <v>8.1588235294117654E-6</v>
      </c>
      <c r="I107" s="182">
        <f t="shared" si="24"/>
        <v>8.1588235294117654E-6</v>
      </c>
      <c r="J107" s="199"/>
      <c r="L107" s="169"/>
    </row>
    <row r="108" spans="1:12" s="172" customFormat="1" x14ac:dyDescent="0.2">
      <c r="A108" s="967"/>
      <c r="B108" s="178" t="s">
        <v>143</v>
      </c>
      <c r="C108" s="179">
        <f>(0.000003)*$H$8/1000</f>
        <v>4.2001499999999997E-10</v>
      </c>
      <c r="D108" s="183">
        <v>2.5999999999999998E-4</v>
      </c>
      <c r="E108" s="205">
        <f t="shared" si="21"/>
        <v>1.5000000000000003E-11</v>
      </c>
      <c r="F108" s="205">
        <f t="shared" si="22"/>
        <v>1.2745098039215686E-6</v>
      </c>
      <c r="G108" s="206">
        <f t="shared" si="20"/>
        <v>1.2745098039215686E-6</v>
      </c>
      <c r="H108" s="182">
        <f t="shared" si="23"/>
        <v>5.5823529411764704E-6</v>
      </c>
      <c r="I108" s="182">
        <f t="shared" si="24"/>
        <v>5.5823529411764704E-6</v>
      </c>
      <c r="J108" s="199"/>
      <c r="K108" s="169"/>
      <c r="L108" s="184"/>
    </row>
    <row r="109" spans="1:12" s="172" customFormat="1" x14ac:dyDescent="0.2">
      <c r="A109" s="967"/>
      <c r="B109" s="178" t="s">
        <v>144</v>
      </c>
      <c r="C109" s="179">
        <f>(0.000003)*$H$8/1000</f>
        <v>4.2001499999999997E-10</v>
      </c>
      <c r="D109" s="179">
        <v>2.0999999999999999E-3</v>
      </c>
      <c r="E109" s="202">
        <f t="shared" si="21"/>
        <v>1.5000000000000003E-11</v>
      </c>
      <c r="F109" s="202">
        <f t="shared" si="22"/>
        <v>1.0294117647058823E-5</v>
      </c>
      <c r="G109" s="203">
        <f t="shared" si="20"/>
        <v>1.0294117647058823E-5</v>
      </c>
      <c r="H109" s="180">
        <f t="shared" si="23"/>
        <v>4.5088235294117644E-5</v>
      </c>
      <c r="I109" s="182">
        <f t="shared" si="24"/>
        <v>4.5088235294117644E-5</v>
      </c>
      <c r="J109" s="199"/>
      <c r="L109" s="181"/>
    </row>
    <row r="110" spans="1:12" s="172" customFormat="1" x14ac:dyDescent="0.2">
      <c r="A110" s="967"/>
      <c r="B110" s="178" t="s">
        <v>145</v>
      </c>
      <c r="C110" s="179">
        <f>(0.000015)*$H$8/1000</f>
        <v>2.1000750000000001E-9</v>
      </c>
      <c r="D110" s="179">
        <v>2.4000000000000001E-5</v>
      </c>
      <c r="E110" s="202">
        <f t="shared" si="21"/>
        <v>7.5000000000000025E-11</v>
      </c>
      <c r="F110" s="202">
        <f t="shared" si="22"/>
        <v>1.1764705882352942E-7</v>
      </c>
      <c r="G110" s="203">
        <f t="shared" si="20"/>
        <v>1.1764705882352942E-7</v>
      </c>
      <c r="H110" s="180">
        <f>G110*8760/2000</f>
        <v>5.1529411764705885E-7</v>
      </c>
      <c r="I110" s="182">
        <f>G110*8760/2000</f>
        <v>5.1529411764705885E-7</v>
      </c>
      <c r="J110" s="199"/>
      <c r="L110" s="181"/>
    </row>
    <row r="111" spans="1:12" s="172" customFormat="1" x14ac:dyDescent="0.2">
      <c r="A111" s="967"/>
      <c r="B111" s="186" t="s">
        <v>146</v>
      </c>
      <c r="C111" s="179"/>
      <c r="D111" s="179"/>
      <c r="E111" s="263">
        <f>SUM(E73:E110)</f>
        <v>1.2433362594264491E-3</v>
      </c>
      <c r="F111" s="263">
        <f>SUM(F73:F110)</f>
        <v>9.2439068627450972E-3</v>
      </c>
      <c r="G111" s="187">
        <f>MAX(E111:F111)</f>
        <v>9.2439068627450972E-3</v>
      </c>
      <c r="H111" s="187">
        <f>G111*8760/2000</f>
        <v>4.0488312058823521E-2</v>
      </c>
      <c r="I111" s="188">
        <f>G111*8760/2000</f>
        <v>4.0488312058823521E-2</v>
      </c>
      <c r="J111" s="199"/>
      <c r="L111" s="181"/>
    </row>
    <row r="112" spans="1:12" s="172" customFormat="1" x14ac:dyDescent="0.2">
      <c r="A112" s="967"/>
      <c r="B112" s="186" t="s">
        <v>147</v>
      </c>
      <c r="C112" s="179">
        <f>(0.000009)*$H$8/1000</f>
        <v>1.2600450000000001E-9</v>
      </c>
      <c r="D112" s="179">
        <v>5.0000000000000001E-4</v>
      </c>
      <c r="E112" s="202">
        <f>C112*$B$70</f>
        <v>4.5000000000000013E-11</v>
      </c>
      <c r="F112" s="202">
        <f>D112*$B$71</f>
        <v>2.4509803921568628E-6</v>
      </c>
      <c r="G112" s="180">
        <f>MAX(E112:F112)</f>
        <v>2.4509803921568628E-6</v>
      </c>
      <c r="H112" s="180">
        <f>G112*8760/2000</f>
        <v>1.073529411764706E-5</v>
      </c>
      <c r="I112" s="189">
        <f>G112*8760/2000</f>
        <v>1.073529411764706E-5</v>
      </c>
      <c r="J112" s="181"/>
      <c r="L112" s="181"/>
    </row>
    <row r="113" spans="1:13" s="172" customFormat="1" x14ac:dyDescent="0.2">
      <c r="A113" s="967"/>
      <c r="B113" s="186" t="s">
        <v>148</v>
      </c>
      <c r="C113" s="117">
        <f>2+1.3</f>
        <v>3.3</v>
      </c>
      <c r="D113" s="179">
        <v>7.6</v>
      </c>
      <c r="E113" s="202">
        <f t="shared" ref="E113:E122" si="25">C113*$B$70</f>
        <v>0.11785293382379203</v>
      </c>
      <c r="F113" s="202">
        <f t="shared" ref="F113:F122" si="26">D113*$B$71</f>
        <v>3.7254901960784313E-2</v>
      </c>
      <c r="G113" s="187">
        <f>MAX(E113:F113)</f>
        <v>0.11785293382379203</v>
      </c>
      <c r="H113" s="187">
        <f>G113*8760/2000</f>
        <v>0.51619585014820901</v>
      </c>
      <c r="I113" s="188">
        <f t="shared" si="24"/>
        <v>0.51619585014820901</v>
      </c>
      <c r="J113" s="181"/>
      <c r="L113" s="181"/>
    </row>
    <row r="114" spans="1:13" s="172" customFormat="1" ht="14.25" x14ac:dyDescent="0.25">
      <c r="A114" s="967"/>
      <c r="B114" s="186" t="s">
        <v>8</v>
      </c>
      <c r="C114" s="117">
        <f>1+1.3</f>
        <v>2.2999999999999998</v>
      </c>
      <c r="D114" s="179">
        <v>7.6</v>
      </c>
      <c r="E114" s="202">
        <f t="shared" si="25"/>
        <v>8.2139923574158072E-2</v>
      </c>
      <c r="F114" s="202">
        <f t="shared" si="26"/>
        <v>3.7254901960784313E-2</v>
      </c>
      <c r="G114" s="187">
        <f>MAX(E114:F114)</f>
        <v>8.2139923574158072E-2</v>
      </c>
      <c r="H114" s="187">
        <f>G114*8760/2000</f>
        <v>0.35977286525481234</v>
      </c>
      <c r="I114" s="188">
        <f>G114*8760/2000</f>
        <v>0.35977286525481234</v>
      </c>
      <c r="J114" s="181"/>
      <c r="L114" s="181"/>
    </row>
    <row r="115" spans="1:13" s="172" customFormat="1" ht="14.25" x14ac:dyDescent="0.25">
      <c r="A115" s="967"/>
      <c r="B115" s="186" t="s">
        <v>7</v>
      </c>
      <c r="C115" s="117">
        <f>0.25+1.3</f>
        <v>1.55</v>
      </c>
      <c r="D115" s="179">
        <v>7.6</v>
      </c>
      <c r="E115" s="202">
        <f t="shared" si="25"/>
        <v>5.5355165886932622E-2</v>
      </c>
      <c r="F115" s="202">
        <f t="shared" si="26"/>
        <v>3.7254901960784313E-2</v>
      </c>
      <c r="G115" s="187">
        <f>E115</f>
        <v>5.5355165886932622E-2</v>
      </c>
      <c r="H115" s="187">
        <f t="shared" ref="H115:H122" si="27">G115*8760/2000</f>
        <v>0.24245562658476491</v>
      </c>
      <c r="I115" s="188">
        <f t="shared" ref="I115:I122" si="28">G115*8760/2000</f>
        <v>0.24245562658476491</v>
      </c>
      <c r="J115" s="181"/>
      <c r="L115" s="181"/>
    </row>
    <row r="116" spans="1:13" s="172" customFormat="1" ht="14.25" x14ac:dyDescent="0.25">
      <c r="A116" s="967"/>
      <c r="B116" s="186" t="s">
        <v>220</v>
      </c>
      <c r="C116" s="179">
        <f>142*L70</f>
        <v>71</v>
      </c>
      <c r="D116" s="179">
        <v>0.6</v>
      </c>
      <c r="E116" s="202">
        <f t="shared" si="25"/>
        <v>2.5356237277240106</v>
      </c>
      <c r="F116" s="202">
        <f t="shared" si="26"/>
        <v>2.9411764705882353E-3</v>
      </c>
      <c r="G116" s="187">
        <f t="shared" ref="G116:G122" si="29">MAX(E116:F116)</f>
        <v>2.5356237277240106</v>
      </c>
      <c r="H116" s="187">
        <f t="shared" si="27"/>
        <v>11.106031927431166</v>
      </c>
      <c r="I116" s="188">
        <f t="shared" si="28"/>
        <v>11.106031927431166</v>
      </c>
      <c r="J116" s="181"/>
      <c r="L116" s="181"/>
    </row>
    <row r="117" spans="1:13" s="172" customFormat="1" x14ac:dyDescent="0.2">
      <c r="A117" s="967"/>
      <c r="B117" s="186" t="s">
        <v>152</v>
      </c>
      <c r="C117" s="179">
        <v>20</v>
      </c>
      <c r="D117" s="179">
        <v>100</v>
      </c>
      <c r="E117" s="202">
        <f t="shared" si="25"/>
        <v>0.71426020499267895</v>
      </c>
      <c r="F117" s="202">
        <f t="shared" si="26"/>
        <v>0.49019607843137253</v>
      </c>
      <c r="G117" s="187">
        <f t="shared" si="29"/>
        <v>0.71426020499267895</v>
      </c>
      <c r="H117" s="187">
        <f t="shared" si="27"/>
        <v>3.1284596978679335</v>
      </c>
      <c r="I117" s="188">
        <f t="shared" si="28"/>
        <v>3.1284596978679335</v>
      </c>
      <c r="J117" s="181"/>
      <c r="L117" s="181"/>
    </row>
    <row r="118" spans="1:13" s="172" customFormat="1" x14ac:dyDescent="0.2">
      <c r="A118" s="967"/>
      <c r="B118" s="186" t="s">
        <v>6</v>
      </c>
      <c r="C118" s="179">
        <v>0.34</v>
      </c>
      <c r="D118" s="179">
        <v>5.5</v>
      </c>
      <c r="E118" s="202">
        <f t="shared" si="25"/>
        <v>1.2142423484875544E-2</v>
      </c>
      <c r="F118" s="202">
        <f t="shared" si="26"/>
        <v>2.6960784313725492E-2</v>
      </c>
      <c r="G118" s="187">
        <f t="shared" si="29"/>
        <v>2.6960784313725492E-2</v>
      </c>
      <c r="H118" s="187">
        <f t="shared" si="27"/>
        <v>0.11808823529411765</v>
      </c>
      <c r="I118" s="188">
        <f t="shared" si="28"/>
        <v>0.11808823529411765</v>
      </c>
      <c r="J118" s="181"/>
      <c r="L118" s="181"/>
    </row>
    <row r="119" spans="1:13" s="172" customFormat="1" x14ac:dyDescent="0.2">
      <c r="A119" s="967"/>
      <c r="B119" s="186" t="s">
        <v>189</v>
      </c>
      <c r="C119" s="183">
        <v>5</v>
      </c>
      <c r="D119" s="179">
        <v>84</v>
      </c>
      <c r="E119" s="202">
        <f t="shared" si="25"/>
        <v>0.17856505124816974</v>
      </c>
      <c r="F119" s="202">
        <f t="shared" si="26"/>
        <v>0.41176470588235292</v>
      </c>
      <c r="G119" s="187">
        <f t="shared" si="29"/>
        <v>0.41176470588235292</v>
      </c>
      <c r="H119" s="187">
        <f t="shared" si="27"/>
        <v>1.8035294117647058</v>
      </c>
      <c r="I119" s="188">
        <f>G119*8760/2000</f>
        <v>1.8035294117647058</v>
      </c>
      <c r="J119" s="181"/>
      <c r="L119" s="181"/>
    </row>
    <row r="120" spans="1:13" s="172" customFormat="1" ht="14.25" x14ac:dyDescent="0.25">
      <c r="A120" s="967"/>
      <c r="B120" s="186" t="s">
        <v>237</v>
      </c>
      <c r="C120" s="179">
        <v>22300</v>
      </c>
      <c r="D120" s="179">
        <v>120000</v>
      </c>
      <c r="E120" s="202">
        <f>C120*$B$70</f>
        <v>796.40012856683711</v>
      </c>
      <c r="F120" s="202">
        <f t="shared" si="26"/>
        <v>588.23529411764707</v>
      </c>
      <c r="G120" s="208">
        <f>MAX(E120:F120)</f>
        <v>796.40012856683711</v>
      </c>
      <c r="H120" s="192">
        <f>G120*8760/2000</f>
        <v>3488.2325631227463</v>
      </c>
      <c r="I120" s="193">
        <f>G120*8760/2000</f>
        <v>3488.2325631227463</v>
      </c>
      <c r="J120" s="181"/>
      <c r="K120" s="209"/>
      <c r="L120" s="153"/>
    </row>
    <row r="121" spans="1:13" s="172" customFormat="1" ht="14.25" x14ac:dyDescent="0.25">
      <c r="A121" s="967"/>
      <c r="B121" s="186" t="s">
        <v>238</v>
      </c>
      <c r="C121" s="179">
        <v>5.1999999999999998E-2</v>
      </c>
      <c r="D121" s="179">
        <v>2.2999999999999998</v>
      </c>
      <c r="E121" s="202">
        <f t="shared" si="25"/>
        <v>1.8570765329809652E-3</v>
      </c>
      <c r="F121" s="202">
        <f t="shared" si="26"/>
        <v>1.1274509803921567E-2</v>
      </c>
      <c r="G121" s="208">
        <f>MAX(E121:F121)</f>
        <v>1.1274509803921567E-2</v>
      </c>
      <c r="H121" s="208">
        <f t="shared" si="27"/>
        <v>4.9382352941176461E-2</v>
      </c>
      <c r="I121" s="210">
        <f t="shared" si="28"/>
        <v>4.9382352941176461E-2</v>
      </c>
      <c r="J121" s="181"/>
      <c r="K121" s="209"/>
      <c r="L121" s="181"/>
    </row>
    <row r="122" spans="1:13" s="172" customFormat="1" ht="14.25" x14ac:dyDescent="0.25">
      <c r="A122" s="967"/>
      <c r="B122" s="186" t="s">
        <v>239</v>
      </c>
      <c r="C122" s="179">
        <v>0.26</v>
      </c>
      <c r="D122" s="179">
        <v>2.2000000000000002</v>
      </c>
      <c r="E122" s="202">
        <f t="shared" si="25"/>
        <v>9.2853826649048274E-3</v>
      </c>
      <c r="F122" s="202">
        <f t="shared" si="26"/>
        <v>1.0784313725490198E-2</v>
      </c>
      <c r="G122" s="208">
        <f t="shared" si="29"/>
        <v>1.0784313725490198E-2</v>
      </c>
      <c r="H122" s="208">
        <f t="shared" si="27"/>
        <v>4.7235294117647063E-2</v>
      </c>
      <c r="I122" s="210">
        <f t="shared" si="28"/>
        <v>4.7235294117647063E-2</v>
      </c>
      <c r="J122" s="181"/>
      <c r="K122" s="209"/>
      <c r="L122" s="181"/>
    </row>
    <row r="123" spans="1:13" s="172" customFormat="1" x14ac:dyDescent="0.2">
      <c r="A123" s="967"/>
      <c r="B123" s="186" t="s">
        <v>158</v>
      </c>
      <c r="C123" s="211"/>
      <c r="D123" s="211"/>
      <c r="E123" s="211">
        <f>SUM(E120:E122)</f>
        <v>796.41127102603491</v>
      </c>
      <c r="F123" s="211">
        <f>SUM(F120:F122)</f>
        <v>588.25735294117646</v>
      </c>
      <c r="G123" s="208">
        <f>SUM(G120:G122)</f>
        <v>796.4221873903665</v>
      </c>
      <c r="H123" s="192">
        <f>SUM(H120:H122)</f>
        <v>3488.3291807698056</v>
      </c>
      <c r="I123" s="193">
        <f>SUM(I120:I122)</f>
        <v>3488.3291807698056</v>
      </c>
      <c r="J123" s="181"/>
      <c r="K123" s="209"/>
      <c r="L123" s="153"/>
    </row>
    <row r="124" spans="1:13" s="172" customFormat="1" ht="14.25" x14ac:dyDescent="0.25">
      <c r="A124" s="967"/>
      <c r="B124" s="186" t="s">
        <v>221</v>
      </c>
      <c r="C124" s="183"/>
      <c r="D124" s="179"/>
      <c r="E124" s="179">
        <f>E120+(E121*25)+(E122*298)</f>
        <v>799.21359951430338</v>
      </c>
      <c r="F124" s="179">
        <f>F120+(F121*25)+(F122*298)</f>
        <v>591.73088235294119</v>
      </c>
      <c r="G124" s="208">
        <f>G120+(G121*25)+(G122*298)</f>
        <v>799.89571680213123</v>
      </c>
      <c r="H124" s="192">
        <f>H120+(H121*25)+(H122*298)</f>
        <v>3503.5432395933344</v>
      </c>
      <c r="I124" s="193">
        <f>I120+(I121*25)+(I122*298)</f>
        <v>3503.5432395933344</v>
      </c>
      <c r="J124" s="181"/>
      <c r="K124" s="209"/>
      <c r="L124" s="153"/>
    </row>
    <row r="125" spans="1:13" s="169" customFormat="1" ht="18" x14ac:dyDescent="0.25">
      <c r="A125" s="966" t="s">
        <v>11</v>
      </c>
      <c r="B125" s="966"/>
      <c r="C125" s="966"/>
      <c r="D125" s="966"/>
      <c r="E125" s="966"/>
      <c r="F125" s="966"/>
      <c r="G125" s="966"/>
      <c r="H125" s="966"/>
      <c r="I125" s="966"/>
      <c r="J125" s="966"/>
      <c r="K125" s="966"/>
      <c r="L125" s="966"/>
      <c r="M125" s="966"/>
    </row>
    <row r="126" spans="1:13" s="169" customFormat="1" ht="15.75" x14ac:dyDescent="0.25">
      <c r="A126" s="964" t="s">
        <v>650</v>
      </c>
      <c r="B126" s="964"/>
      <c r="C126" s="964"/>
      <c r="D126" s="964"/>
      <c r="E126" s="964"/>
      <c r="F126" s="964"/>
      <c r="G126" s="964"/>
      <c r="H126" s="964"/>
      <c r="I126" s="964"/>
      <c r="J126" s="964"/>
      <c r="K126" s="964"/>
      <c r="L126" s="964"/>
      <c r="M126" s="964"/>
    </row>
    <row r="127" spans="1:13" s="169" customFormat="1" ht="15.75" x14ac:dyDescent="0.25">
      <c r="A127" s="964" t="s">
        <v>303</v>
      </c>
      <c r="B127" s="964"/>
      <c r="C127" s="964"/>
      <c r="D127" s="964"/>
      <c r="E127" s="964"/>
      <c r="F127" s="964"/>
      <c r="G127" s="964"/>
      <c r="H127" s="964"/>
      <c r="I127" s="964"/>
      <c r="J127" s="964"/>
      <c r="K127" s="964"/>
      <c r="L127" s="964"/>
      <c r="M127" s="964"/>
    </row>
    <row r="128" spans="1:13" s="169" customFormat="1" ht="15.75" customHeight="1" x14ac:dyDescent="0.2">
      <c r="A128" s="170" t="s">
        <v>90</v>
      </c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</row>
    <row r="129" spans="1:18" s="172" customFormat="1" x14ac:dyDescent="0.2">
      <c r="A129" s="169" t="s">
        <v>91</v>
      </c>
      <c r="B129" s="169">
        <v>17.579999999999998</v>
      </c>
      <c r="C129" s="169" t="s">
        <v>52</v>
      </c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</row>
    <row r="130" spans="1:18" s="172" customFormat="1" x14ac:dyDescent="0.2">
      <c r="A130" s="169" t="s">
        <v>96</v>
      </c>
      <c r="B130" s="169">
        <f>B129/H130/1000</f>
        <v>0.12556694403771293</v>
      </c>
      <c r="C130" s="169" t="s">
        <v>93</v>
      </c>
      <c r="D130" s="169"/>
      <c r="E130" s="169" t="s">
        <v>97</v>
      </c>
      <c r="F130" s="169"/>
      <c r="G130" s="169"/>
      <c r="H130" s="169">
        <f>140005/1000000</f>
        <v>0.14000499999999999</v>
      </c>
      <c r="I130" s="169" t="s">
        <v>95</v>
      </c>
      <c r="J130" s="169"/>
      <c r="K130" s="169" t="s">
        <v>226</v>
      </c>
      <c r="L130" s="174">
        <v>0.5</v>
      </c>
      <c r="M130" s="169" t="s">
        <v>225</v>
      </c>
      <c r="N130" s="169"/>
      <c r="O130" s="169"/>
      <c r="P130" s="169"/>
      <c r="Q130" s="169"/>
      <c r="R130" s="169"/>
    </row>
    <row r="131" spans="1:18" s="172" customFormat="1" x14ac:dyDescent="0.2">
      <c r="A131" s="169" t="s">
        <v>98</v>
      </c>
      <c r="B131" s="169">
        <f>B129/H131</f>
        <v>1.7235294117647057E-2</v>
      </c>
      <c r="C131" s="169" t="s">
        <v>99</v>
      </c>
      <c r="D131" s="169"/>
      <c r="E131" s="169" t="s">
        <v>100</v>
      </c>
      <c r="F131" s="169"/>
      <c r="G131" s="169"/>
      <c r="H131" s="169">
        <v>1020</v>
      </c>
      <c r="I131" s="169" t="s">
        <v>101</v>
      </c>
      <c r="J131" s="169"/>
      <c r="K131" s="169"/>
      <c r="L131" s="169"/>
      <c r="M131" s="169"/>
      <c r="N131" s="169"/>
      <c r="O131" s="169"/>
      <c r="P131" s="169"/>
      <c r="Q131" s="169"/>
      <c r="R131" s="169"/>
    </row>
    <row r="132" spans="1:18" s="176" customFormat="1" ht="63.75" x14ac:dyDescent="0.2">
      <c r="A132" s="175" t="s">
        <v>102</v>
      </c>
      <c r="B132" s="175" t="s">
        <v>10</v>
      </c>
      <c r="C132" s="175" t="s">
        <v>103</v>
      </c>
      <c r="D132" s="175" t="s">
        <v>104</v>
      </c>
      <c r="E132" s="175" t="s">
        <v>106</v>
      </c>
      <c r="F132" s="175" t="s">
        <v>107</v>
      </c>
      <c r="G132" s="175" t="s">
        <v>109</v>
      </c>
      <c r="H132" s="175" t="s">
        <v>110</v>
      </c>
      <c r="I132" s="175" t="s">
        <v>111</v>
      </c>
    </row>
    <row r="133" spans="1:18" s="172" customFormat="1" x14ac:dyDescent="0.2">
      <c r="A133" s="967" t="s">
        <v>658</v>
      </c>
      <c r="B133" s="178" t="s">
        <v>113</v>
      </c>
      <c r="C133" s="179">
        <v>1.7999999999999999E-6</v>
      </c>
      <c r="D133" s="179">
        <v>2.1100000000000001E-5</v>
      </c>
      <c r="E133" s="179">
        <f>C133*$B$131</f>
        <v>3.1023529411764698E-8</v>
      </c>
      <c r="F133" s="179">
        <f>D133*$B$130</f>
        <v>2.6494625191957428E-6</v>
      </c>
      <c r="G133" s="180">
        <f t="shared" ref="G133:G170" si="30">MAX(E133:F133)</f>
        <v>2.6494625191957428E-6</v>
      </c>
      <c r="H133" s="180">
        <f>G133*8760/2000</f>
        <v>1.1604645834077355E-5</v>
      </c>
      <c r="I133" s="180">
        <f>G133*8760/2000</f>
        <v>1.1604645834077355E-5</v>
      </c>
    </row>
    <row r="134" spans="1:18" s="172" customFormat="1" x14ac:dyDescent="0.2">
      <c r="A134" s="967"/>
      <c r="B134" s="178" t="s">
        <v>114</v>
      </c>
      <c r="C134" s="179">
        <v>1.7999999999999999E-6</v>
      </c>
      <c r="D134" s="179">
        <v>2.53E-7</v>
      </c>
      <c r="E134" s="179">
        <f t="shared" ref="E134:E181" si="31">C134*$B$131</f>
        <v>3.1023529411764698E-8</v>
      </c>
      <c r="F134" s="179">
        <f t="shared" ref="F134:F181" si="32">D134*$B$130</f>
        <v>3.1768436841541372E-8</v>
      </c>
      <c r="G134" s="180">
        <f t="shared" si="30"/>
        <v>3.1768436841541372E-8</v>
      </c>
      <c r="H134" s="180">
        <f t="shared" ref="H134:H181" si="33">G134*8760/2000</f>
        <v>1.3914575336595121E-7</v>
      </c>
      <c r="I134" s="180">
        <f t="shared" ref="I134:I175" si="34">G134*8760/2000</f>
        <v>1.3914575336595121E-7</v>
      </c>
    </row>
    <row r="135" spans="1:18" s="172" customFormat="1" x14ac:dyDescent="0.2">
      <c r="A135" s="967"/>
      <c r="B135" s="178" t="s">
        <v>115</v>
      </c>
      <c r="C135" s="179">
        <v>2.3999999999999999E-6</v>
      </c>
      <c r="D135" s="179">
        <v>1.22E-6</v>
      </c>
      <c r="E135" s="179">
        <f t="shared" si="31"/>
        <v>4.1364705882352933E-8</v>
      </c>
      <c r="F135" s="179">
        <f t="shared" si="32"/>
        <v>1.5319167172600976E-7</v>
      </c>
      <c r="G135" s="180">
        <f t="shared" si="30"/>
        <v>1.5319167172600976E-7</v>
      </c>
      <c r="H135" s="180">
        <f t="shared" si="33"/>
        <v>6.7097952215992274E-7</v>
      </c>
      <c r="I135" s="180">
        <f t="shared" si="34"/>
        <v>6.7097952215992274E-7</v>
      </c>
    </row>
    <row r="136" spans="1:18" s="172" customFormat="1" x14ac:dyDescent="0.2">
      <c r="A136" s="967"/>
      <c r="B136" s="178" t="s">
        <v>160</v>
      </c>
      <c r="C136" s="179">
        <v>1.7999999999999999E-6</v>
      </c>
      <c r="D136" s="179">
        <v>4.0099999999999997E-6</v>
      </c>
      <c r="E136" s="179">
        <f t="shared" si="31"/>
        <v>3.1023529411764698E-8</v>
      </c>
      <c r="F136" s="179">
        <f t="shared" si="32"/>
        <v>5.0352344559122884E-7</v>
      </c>
      <c r="G136" s="180">
        <f t="shared" si="30"/>
        <v>5.0352344559122884E-7</v>
      </c>
      <c r="H136" s="180">
        <f t="shared" si="33"/>
        <v>2.205432691689582E-6</v>
      </c>
      <c r="I136" s="180">
        <f t="shared" si="34"/>
        <v>2.205432691689582E-6</v>
      </c>
    </row>
    <row r="137" spans="1:18" s="172" customFormat="1" x14ac:dyDescent="0.2">
      <c r="A137" s="967"/>
      <c r="B137" s="178" t="s">
        <v>117</v>
      </c>
      <c r="C137" s="179">
        <v>2.0999999999999999E-3</v>
      </c>
      <c r="D137" s="179">
        <v>2.14E-4</v>
      </c>
      <c r="E137" s="179">
        <f t="shared" si="31"/>
        <v>3.6194117647058815E-5</v>
      </c>
      <c r="F137" s="179">
        <f t="shared" si="32"/>
        <v>2.6871326024070568E-5</v>
      </c>
      <c r="G137" s="180">
        <f t="shared" si="30"/>
        <v>3.6194117647058815E-5</v>
      </c>
      <c r="H137" s="180">
        <f t="shared" si="33"/>
        <v>1.5853023529411762E-4</v>
      </c>
      <c r="I137" s="180">
        <f t="shared" si="34"/>
        <v>1.5853023529411762E-4</v>
      </c>
    </row>
    <row r="138" spans="1:18" s="172" customFormat="1" x14ac:dyDescent="0.2">
      <c r="A138" s="967"/>
      <c r="B138" s="204" t="s">
        <v>118</v>
      </c>
      <c r="C138" s="179">
        <v>1.1999999999999999E-6</v>
      </c>
      <c r="D138" s="179"/>
      <c r="E138" s="179">
        <f t="shared" si="31"/>
        <v>2.0682352941176466E-8</v>
      </c>
      <c r="F138" s="179"/>
      <c r="G138" s="180">
        <f t="shared" si="30"/>
        <v>2.0682352941176466E-8</v>
      </c>
      <c r="H138" s="180">
        <f t="shared" si="33"/>
        <v>9.0588705882352931E-8</v>
      </c>
      <c r="I138" s="180">
        <f t="shared" si="34"/>
        <v>9.0588705882352931E-8</v>
      </c>
    </row>
    <row r="139" spans="1:18" s="172" customFormat="1" x14ac:dyDescent="0.2">
      <c r="A139" s="967"/>
      <c r="B139" s="178" t="s">
        <v>119</v>
      </c>
      <c r="C139" s="179">
        <v>1.7999999999999999E-6</v>
      </c>
      <c r="D139" s="179">
        <v>1.48E-6</v>
      </c>
      <c r="E139" s="179">
        <f t="shared" si="31"/>
        <v>3.1023529411764698E-8</v>
      </c>
      <c r="F139" s="179">
        <f t="shared" si="32"/>
        <v>1.8583907717581515E-7</v>
      </c>
      <c r="G139" s="180">
        <f t="shared" si="30"/>
        <v>1.8583907717581515E-7</v>
      </c>
      <c r="H139" s="180">
        <f t="shared" si="33"/>
        <v>8.1397515803007036E-7</v>
      </c>
      <c r="I139" s="180">
        <f t="shared" si="34"/>
        <v>8.1397515803007036E-7</v>
      </c>
    </row>
    <row r="140" spans="1:18" s="172" customFormat="1" x14ac:dyDescent="0.2">
      <c r="A140" s="967"/>
      <c r="B140" s="178" t="s">
        <v>120</v>
      </c>
      <c r="C140" s="179">
        <v>1.1999999999999999E-6</v>
      </c>
      <c r="D140" s="179">
        <v>2.26E-6</v>
      </c>
      <c r="E140" s="179">
        <f t="shared" si="31"/>
        <v>2.0682352941176466E-8</v>
      </c>
      <c r="F140" s="179">
        <f t="shared" si="32"/>
        <v>2.837812935252312E-7</v>
      </c>
      <c r="G140" s="180">
        <f t="shared" si="30"/>
        <v>2.837812935252312E-7</v>
      </c>
      <c r="H140" s="180">
        <f t="shared" si="33"/>
        <v>1.2429620656405125E-6</v>
      </c>
      <c r="I140" s="180">
        <f t="shared" si="34"/>
        <v>1.2429620656405125E-6</v>
      </c>
    </row>
    <row r="141" spans="1:18" s="172" customFormat="1" x14ac:dyDescent="0.2">
      <c r="A141" s="967"/>
      <c r="B141" s="178" t="s">
        <v>121</v>
      </c>
      <c r="C141" s="179">
        <v>1.7999999999999999E-6</v>
      </c>
      <c r="D141" s="179">
        <v>1.48E-6</v>
      </c>
      <c r="E141" s="179">
        <f t="shared" si="31"/>
        <v>3.1023529411764698E-8</v>
      </c>
      <c r="F141" s="179">
        <f t="shared" si="32"/>
        <v>1.8583907717581515E-7</v>
      </c>
      <c r="G141" s="180">
        <f t="shared" si="30"/>
        <v>1.8583907717581515E-7</v>
      </c>
      <c r="H141" s="180">
        <f t="shared" si="33"/>
        <v>8.1397515803007036E-7</v>
      </c>
      <c r="I141" s="180">
        <f t="shared" si="34"/>
        <v>8.1397515803007036E-7</v>
      </c>
    </row>
    <row r="142" spans="1:18" s="172" customFormat="1" x14ac:dyDescent="0.2">
      <c r="A142" s="967"/>
      <c r="B142" s="178" t="s">
        <v>122</v>
      </c>
      <c r="C142" s="179">
        <v>1.7999999999999999E-6</v>
      </c>
      <c r="D142" s="179">
        <v>2.3800000000000001E-6</v>
      </c>
      <c r="E142" s="179">
        <f t="shared" si="31"/>
        <v>3.1023529411764698E-8</v>
      </c>
      <c r="F142" s="179">
        <f t="shared" si="32"/>
        <v>2.9884932680975677E-7</v>
      </c>
      <c r="G142" s="180">
        <f t="shared" si="30"/>
        <v>2.9884932680975677E-7</v>
      </c>
      <c r="H142" s="180">
        <f t="shared" si="33"/>
        <v>1.3089600514267347E-6</v>
      </c>
      <c r="I142" s="180">
        <f t="shared" si="34"/>
        <v>1.3089600514267347E-6</v>
      </c>
    </row>
    <row r="143" spans="1:18" s="172" customFormat="1" x14ac:dyDescent="0.2">
      <c r="A143" s="967"/>
      <c r="B143" s="178" t="s">
        <v>123</v>
      </c>
      <c r="C143" s="179">
        <v>1.1999999999999999E-3</v>
      </c>
      <c r="D143" s="179">
        <v>1.6700000000000001E-6</v>
      </c>
      <c r="E143" s="179">
        <f t="shared" si="31"/>
        <v>2.0682352941176467E-5</v>
      </c>
      <c r="F143" s="179">
        <f t="shared" si="32"/>
        <v>2.096967965429806E-7</v>
      </c>
      <c r="G143" s="180">
        <f t="shared" si="30"/>
        <v>2.0682352941176467E-5</v>
      </c>
      <c r="H143" s="180">
        <f t="shared" si="33"/>
        <v>9.0588705882352929E-5</v>
      </c>
      <c r="I143" s="180">
        <f t="shared" si="34"/>
        <v>9.0588705882352929E-5</v>
      </c>
    </row>
    <row r="144" spans="1:18" s="172" customFormat="1" x14ac:dyDescent="0.2">
      <c r="A144" s="967"/>
      <c r="B144" s="178" t="s">
        <v>124</v>
      </c>
      <c r="C144" s="179">
        <v>1.1999999999999999E-3</v>
      </c>
      <c r="D144" s="179"/>
      <c r="E144" s="179">
        <f t="shared" si="31"/>
        <v>2.0682352941176467E-5</v>
      </c>
      <c r="F144" s="179"/>
      <c r="G144" s="180">
        <f t="shared" si="30"/>
        <v>2.0682352941176467E-5</v>
      </c>
      <c r="H144" s="180">
        <f t="shared" si="33"/>
        <v>9.0588705882352929E-5</v>
      </c>
      <c r="I144" s="180">
        <f t="shared" si="34"/>
        <v>9.0588705882352929E-5</v>
      </c>
    </row>
    <row r="145" spans="1:16" s="172" customFormat="1" x14ac:dyDescent="0.2">
      <c r="A145" s="967"/>
      <c r="B145" s="178" t="s">
        <v>214</v>
      </c>
      <c r="C145" s="179">
        <v>1.5999999999999999E-5</v>
      </c>
      <c r="D145" s="179"/>
      <c r="E145" s="179">
        <f t="shared" si="31"/>
        <v>2.7576470588235289E-7</v>
      </c>
      <c r="F145" s="179"/>
      <c r="G145" s="180">
        <f>MAX(E145:F145)</f>
        <v>2.7576470588235289E-7</v>
      </c>
      <c r="H145" s="180">
        <f t="shared" si="33"/>
        <v>1.2078494117647057E-6</v>
      </c>
      <c r="I145" s="180">
        <f t="shared" si="34"/>
        <v>1.2078494117647057E-6</v>
      </c>
    </row>
    <row r="146" spans="1:16" s="172" customFormat="1" x14ac:dyDescent="0.2">
      <c r="A146" s="967"/>
      <c r="B146" s="178" t="s">
        <v>125</v>
      </c>
      <c r="C146" s="179"/>
      <c r="D146" s="179">
        <v>6.3600000000000001E-5</v>
      </c>
      <c r="E146" s="179"/>
      <c r="F146" s="179">
        <f t="shared" si="32"/>
        <v>7.986057640798543E-6</v>
      </c>
      <c r="G146" s="180">
        <f t="shared" si="30"/>
        <v>7.986057640798543E-6</v>
      </c>
      <c r="H146" s="180">
        <f t="shared" si="33"/>
        <v>3.4978932466697616E-5</v>
      </c>
      <c r="I146" s="180">
        <f t="shared" si="34"/>
        <v>3.4978932466697616E-5</v>
      </c>
    </row>
    <row r="147" spans="1:16" s="172" customFormat="1" x14ac:dyDescent="0.2">
      <c r="A147" s="967"/>
      <c r="B147" s="178" t="s">
        <v>126</v>
      </c>
      <c r="C147" s="179">
        <v>3.0000000000000001E-6</v>
      </c>
      <c r="D147" s="179">
        <v>4.8400000000000002E-6</v>
      </c>
      <c r="E147" s="179">
        <f t="shared" si="31"/>
        <v>5.1705882352941174E-8</v>
      </c>
      <c r="F147" s="179">
        <f t="shared" si="32"/>
        <v>6.0774400914253066E-7</v>
      </c>
      <c r="G147" s="180">
        <f t="shared" si="30"/>
        <v>6.0774400914253066E-7</v>
      </c>
      <c r="H147" s="180">
        <f t="shared" si="33"/>
        <v>2.6619187600442843E-6</v>
      </c>
      <c r="I147" s="180">
        <f t="shared" si="34"/>
        <v>2.6619187600442843E-6</v>
      </c>
    </row>
    <row r="148" spans="1:16" s="172" customFormat="1" x14ac:dyDescent="0.2">
      <c r="A148" s="967"/>
      <c r="B148" s="178" t="s">
        <v>127</v>
      </c>
      <c r="C148" s="179">
        <v>2.7999999999999999E-6</v>
      </c>
      <c r="D148" s="179">
        <v>4.4700000000000004E-6</v>
      </c>
      <c r="E148" s="179">
        <f t="shared" si="31"/>
        <v>4.825882352941176E-8</v>
      </c>
      <c r="F148" s="179">
        <f t="shared" si="32"/>
        <v>5.612842398485768E-7</v>
      </c>
      <c r="G148" s="180">
        <f t="shared" si="30"/>
        <v>5.612842398485768E-7</v>
      </c>
      <c r="H148" s="180">
        <f t="shared" si="33"/>
        <v>2.4584249705367663E-6</v>
      </c>
      <c r="I148" s="180">
        <f t="shared" si="34"/>
        <v>2.4584249705367663E-6</v>
      </c>
    </row>
    <row r="149" spans="1:16" s="172" customFormat="1" x14ac:dyDescent="0.2">
      <c r="A149" s="967"/>
      <c r="B149" s="178" t="s">
        <v>128</v>
      </c>
      <c r="C149" s="179">
        <v>7.4999999999999997E-2</v>
      </c>
      <c r="D149" s="179">
        <v>3.3000000000000002E-2</v>
      </c>
      <c r="E149" s="179">
        <f t="shared" si="31"/>
        <v>1.2926470588235292E-3</v>
      </c>
      <c r="F149" s="179">
        <f t="shared" si="32"/>
        <v>4.1437091532445271E-3</v>
      </c>
      <c r="G149" s="180">
        <f t="shared" si="30"/>
        <v>4.1437091532445271E-3</v>
      </c>
      <c r="H149" s="180">
        <f t="shared" si="33"/>
        <v>1.8149446091211028E-2</v>
      </c>
      <c r="I149" s="180">
        <f t="shared" si="34"/>
        <v>1.8149446091211028E-2</v>
      </c>
      <c r="P149" s="181"/>
    </row>
    <row r="150" spans="1:16" s="172" customFormat="1" x14ac:dyDescent="0.2">
      <c r="A150" s="967"/>
      <c r="B150" s="178" t="s">
        <v>129</v>
      </c>
      <c r="C150" s="179">
        <v>1.8</v>
      </c>
      <c r="D150" s="179"/>
      <c r="E150" s="179">
        <f t="shared" si="31"/>
        <v>3.1023529411764703E-2</v>
      </c>
      <c r="F150" s="179"/>
      <c r="G150" s="180">
        <f t="shared" si="30"/>
        <v>3.1023529411764703E-2</v>
      </c>
      <c r="H150" s="180">
        <f t="shared" si="33"/>
        <v>0.13588305882352941</v>
      </c>
      <c r="I150" s="182">
        <f t="shared" si="34"/>
        <v>0.13588305882352941</v>
      </c>
    </row>
    <row r="151" spans="1:16" s="172" customFormat="1" x14ac:dyDescent="0.2">
      <c r="A151" s="967"/>
      <c r="B151" s="178" t="s">
        <v>130</v>
      </c>
      <c r="C151" s="179">
        <v>1.7999999999999999E-6</v>
      </c>
      <c r="D151" s="179">
        <v>2.1399999999999998E-6</v>
      </c>
      <c r="E151" s="179">
        <f t="shared" si="31"/>
        <v>3.1023529411764698E-8</v>
      </c>
      <c r="F151" s="179">
        <f t="shared" si="32"/>
        <v>2.6871326024070564E-7</v>
      </c>
      <c r="G151" s="180">
        <f t="shared" si="30"/>
        <v>2.6871326024070564E-7</v>
      </c>
      <c r="H151" s="180">
        <f t="shared" si="33"/>
        <v>1.1769640798542907E-6</v>
      </c>
      <c r="I151" s="182">
        <f t="shared" si="34"/>
        <v>1.1769640798542907E-6</v>
      </c>
    </row>
    <row r="152" spans="1:16" s="172" customFormat="1" x14ac:dyDescent="0.2">
      <c r="A152" s="967"/>
      <c r="B152" s="178" t="s">
        <v>216</v>
      </c>
      <c r="C152" s="179">
        <v>2.4000000000000001E-5</v>
      </c>
      <c r="D152" s="179"/>
      <c r="E152" s="179">
        <f t="shared" si="31"/>
        <v>4.1364705882352939E-7</v>
      </c>
      <c r="F152" s="179"/>
      <c r="G152" s="180">
        <f t="shared" si="30"/>
        <v>4.1364705882352939E-7</v>
      </c>
      <c r="H152" s="180">
        <f t="shared" si="33"/>
        <v>1.8117741176470586E-6</v>
      </c>
      <c r="I152" s="182">
        <f t="shared" si="34"/>
        <v>1.8117741176470586E-6</v>
      </c>
    </row>
    <row r="153" spans="1:16" s="172" customFormat="1" x14ac:dyDescent="0.2">
      <c r="A153" s="967"/>
      <c r="B153" s="178" t="s">
        <v>217</v>
      </c>
      <c r="C153" s="179">
        <v>1.7999999999999999E-6</v>
      </c>
      <c r="D153" s="179"/>
      <c r="E153" s="179">
        <f t="shared" si="31"/>
        <v>3.1023529411764698E-8</v>
      </c>
      <c r="F153" s="179"/>
      <c r="G153" s="180">
        <f t="shared" si="30"/>
        <v>3.1023529411764698E-8</v>
      </c>
      <c r="H153" s="180">
        <f t="shared" si="33"/>
        <v>1.3588305882352937E-7</v>
      </c>
      <c r="I153" s="182">
        <f t="shared" si="34"/>
        <v>1.3588305882352937E-7</v>
      </c>
    </row>
    <row r="154" spans="1:16" s="172" customFormat="1" x14ac:dyDescent="0.2">
      <c r="A154" s="967"/>
      <c r="B154" s="178" t="s">
        <v>131</v>
      </c>
      <c r="C154" s="179">
        <v>6.0999999999999997E-4</v>
      </c>
      <c r="D154" s="179">
        <v>1.1299999999999999E-3</v>
      </c>
      <c r="E154" s="179">
        <f t="shared" si="31"/>
        <v>1.0513529411764704E-5</v>
      </c>
      <c r="F154" s="179">
        <f t="shared" si="32"/>
        <v>1.4189064676261559E-4</v>
      </c>
      <c r="G154" s="180">
        <f t="shared" si="30"/>
        <v>1.4189064676261559E-4</v>
      </c>
      <c r="H154" s="180">
        <f t="shared" si="33"/>
        <v>6.2148103282025629E-4</v>
      </c>
      <c r="I154" s="182">
        <f t="shared" si="34"/>
        <v>6.2148103282025629E-4</v>
      </c>
    </row>
    <row r="155" spans="1:16" s="172" customFormat="1" x14ac:dyDescent="0.2">
      <c r="A155" s="967"/>
      <c r="B155" s="178" t="s">
        <v>132</v>
      </c>
      <c r="C155" s="179">
        <v>1.7E-5</v>
      </c>
      <c r="D155" s="179">
        <v>1.0499999999999999E-5</v>
      </c>
      <c r="E155" s="179">
        <f t="shared" si="31"/>
        <v>2.9299999999999999E-7</v>
      </c>
      <c r="F155" s="179">
        <f t="shared" si="32"/>
        <v>1.3184529123959856E-6</v>
      </c>
      <c r="G155" s="180">
        <f t="shared" si="30"/>
        <v>1.3184529123959856E-6</v>
      </c>
      <c r="H155" s="180">
        <f t="shared" si="33"/>
        <v>5.7748237562944172E-6</v>
      </c>
      <c r="I155" s="182">
        <f t="shared" si="34"/>
        <v>5.7748237562944172E-6</v>
      </c>
    </row>
    <row r="156" spans="1:16" s="172" customFormat="1" x14ac:dyDescent="0.2">
      <c r="A156" s="967"/>
      <c r="B156" s="178" t="s">
        <v>242</v>
      </c>
      <c r="C156" s="179"/>
      <c r="D156" s="179"/>
      <c r="E156" s="179"/>
      <c r="F156" s="179"/>
      <c r="G156" s="180"/>
      <c r="H156" s="180"/>
      <c r="I156" s="182"/>
    </row>
    <row r="157" spans="1:16" s="172" customFormat="1" x14ac:dyDescent="0.2">
      <c r="A157" s="967"/>
      <c r="B157" s="178" t="s">
        <v>133</v>
      </c>
      <c r="C157" s="179">
        <v>5.0000000000000004E-6</v>
      </c>
      <c r="D157" s="179">
        <v>4.25E-6</v>
      </c>
      <c r="E157" s="179">
        <f t="shared" si="31"/>
        <v>8.6176470588235293E-8</v>
      </c>
      <c r="F157" s="179">
        <f t="shared" si="32"/>
        <v>5.3365951216027997E-7</v>
      </c>
      <c r="G157" s="180">
        <f t="shared" si="30"/>
        <v>5.3365951216027997E-7</v>
      </c>
      <c r="H157" s="180">
        <f t="shared" si="33"/>
        <v>2.3374286632620264E-6</v>
      </c>
      <c r="I157" s="182">
        <f t="shared" si="34"/>
        <v>2.3374286632620264E-6</v>
      </c>
    </row>
    <row r="158" spans="1:16" s="172" customFormat="1" x14ac:dyDescent="0.2">
      <c r="A158" s="967"/>
      <c r="B158" s="178" t="s">
        <v>134</v>
      </c>
      <c r="C158" s="179">
        <v>3.3999999999999998E-3</v>
      </c>
      <c r="D158" s="179">
        <v>6.1999999999999998E-3</v>
      </c>
      <c r="E158" s="179">
        <f t="shared" si="31"/>
        <v>5.8599999999999988E-5</v>
      </c>
      <c r="F158" s="179">
        <f t="shared" si="32"/>
        <v>7.7851505303382009E-4</v>
      </c>
      <c r="G158" s="180">
        <f t="shared" si="30"/>
        <v>7.7851505303382009E-4</v>
      </c>
      <c r="H158" s="180">
        <f t="shared" si="33"/>
        <v>3.4098959322881321E-3</v>
      </c>
      <c r="I158" s="182">
        <f t="shared" si="34"/>
        <v>3.4098959322881321E-3</v>
      </c>
    </row>
    <row r="159" spans="1:16" s="172" customFormat="1" x14ac:dyDescent="0.2">
      <c r="A159" s="967"/>
      <c r="B159" s="178" t="s">
        <v>240</v>
      </c>
      <c r="C159" s="179"/>
      <c r="D159" s="179">
        <v>2.3599999999999999E-4</v>
      </c>
      <c r="E159" s="179"/>
      <c r="F159" s="179">
        <f t="shared" si="32"/>
        <v>2.9633798792900249E-5</v>
      </c>
      <c r="G159" s="180">
        <f t="shared" si="30"/>
        <v>2.9633798792900249E-5</v>
      </c>
      <c r="H159" s="180">
        <f t="shared" si="33"/>
        <v>1.2979603871290311E-4</v>
      </c>
      <c r="I159" s="182">
        <f t="shared" si="34"/>
        <v>1.2979603871290311E-4</v>
      </c>
    </row>
    <row r="160" spans="1:16" s="172" customFormat="1" x14ac:dyDescent="0.2">
      <c r="A160" s="967"/>
      <c r="B160" s="178" t="s">
        <v>135</v>
      </c>
      <c r="C160" s="179"/>
      <c r="D160" s="179">
        <v>1.0900000000000001E-4</v>
      </c>
      <c r="E160" s="179"/>
      <c r="F160" s="179">
        <f t="shared" si="32"/>
        <v>1.368679690011071E-5</v>
      </c>
      <c r="G160" s="180">
        <f t="shared" si="30"/>
        <v>1.368679690011071E-5</v>
      </c>
      <c r="H160" s="180">
        <f t="shared" si="33"/>
        <v>5.9948170422484911E-5</v>
      </c>
      <c r="I160" s="182">
        <f t="shared" si="34"/>
        <v>5.9948170422484911E-5</v>
      </c>
    </row>
    <row r="161" spans="1:16" s="172" customFormat="1" x14ac:dyDescent="0.2">
      <c r="A161" s="967"/>
      <c r="B161" s="178" t="s">
        <v>136</v>
      </c>
      <c r="C161" s="179"/>
      <c r="D161" s="179"/>
      <c r="E161" s="179"/>
      <c r="F161" s="179"/>
      <c r="G161" s="180">
        <f t="shared" si="30"/>
        <v>0</v>
      </c>
      <c r="H161" s="180">
        <f t="shared" si="33"/>
        <v>0</v>
      </c>
      <c r="I161" s="182">
        <f t="shared" si="34"/>
        <v>0</v>
      </c>
      <c r="P161" s="181"/>
    </row>
    <row r="162" spans="1:16" s="172" customFormat="1" x14ac:dyDescent="0.2">
      <c r="A162" s="967"/>
      <c r="B162" s="178" t="s">
        <v>137</v>
      </c>
      <c r="C162" s="179">
        <v>2.0000000000000001E-4</v>
      </c>
      <c r="D162" s="179">
        <f>(0.000004)*$H$8/1000</f>
        <v>5.6002E-10</v>
      </c>
      <c r="E162" s="179">
        <f t="shared" si="31"/>
        <v>3.4470588235294115E-6</v>
      </c>
      <c r="F162" s="179">
        <f t="shared" si="32"/>
        <v>7.0319999999999996E-11</v>
      </c>
      <c r="G162" s="180">
        <f t="shared" si="30"/>
        <v>3.4470588235294115E-6</v>
      </c>
      <c r="H162" s="180">
        <f t="shared" si="33"/>
        <v>1.5098117647058823E-5</v>
      </c>
      <c r="I162" s="182">
        <f t="shared" si="34"/>
        <v>1.5098117647058823E-5</v>
      </c>
      <c r="P162" s="181"/>
    </row>
    <row r="163" spans="1:16" s="172" customFormat="1" x14ac:dyDescent="0.2">
      <c r="A163" s="967"/>
      <c r="B163" s="178" t="s">
        <v>138</v>
      </c>
      <c r="C163" s="179">
        <v>1.2E-5</v>
      </c>
      <c r="D163" s="179">
        <f>(0.000003)*$H$8/1000</f>
        <v>4.2001499999999997E-10</v>
      </c>
      <c r="E163" s="179">
        <f t="shared" si="31"/>
        <v>2.068235294117647E-7</v>
      </c>
      <c r="F163" s="179">
        <f t="shared" si="32"/>
        <v>5.2739999999999991E-11</v>
      </c>
      <c r="G163" s="180">
        <f t="shared" si="30"/>
        <v>2.068235294117647E-7</v>
      </c>
      <c r="H163" s="180">
        <f t="shared" si="33"/>
        <v>9.0588705882352931E-7</v>
      </c>
      <c r="I163" s="182">
        <f t="shared" si="34"/>
        <v>9.0588705882352931E-7</v>
      </c>
      <c r="P163" s="181"/>
    </row>
    <row r="164" spans="1:16" s="172" customFormat="1" x14ac:dyDescent="0.2">
      <c r="A164" s="967"/>
      <c r="B164" s="178" t="s">
        <v>139</v>
      </c>
      <c r="C164" s="179">
        <v>1.1000000000000001E-3</v>
      </c>
      <c r="D164" s="179">
        <f>(0.000003)*$H$8/1000</f>
        <v>4.2001499999999997E-10</v>
      </c>
      <c r="E164" s="179">
        <f t="shared" si="31"/>
        <v>1.8958823529411765E-5</v>
      </c>
      <c r="F164" s="179">
        <f t="shared" si="32"/>
        <v>5.2739999999999991E-11</v>
      </c>
      <c r="G164" s="180">
        <f t="shared" si="30"/>
        <v>1.8958823529411765E-5</v>
      </c>
      <c r="H164" s="180">
        <f t="shared" si="33"/>
        <v>8.3039647058823544E-5</v>
      </c>
      <c r="I164" s="182">
        <f t="shared" si="34"/>
        <v>8.3039647058823544E-5</v>
      </c>
      <c r="P164" s="181"/>
    </row>
    <row r="165" spans="1:16" s="172" customFormat="1" x14ac:dyDescent="0.2">
      <c r="A165" s="967"/>
      <c r="B165" s="178" t="s">
        <v>140</v>
      </c>
      <c r="C165" s="179">
        <v>1.4E-3</v>
      </c>
      <c r="D165" s="179">
        <f>(0.000003)*$H$8/1000</f>
        <v>4.2001499999999997E-10</v>
      </c>
      <c r="E165" s="179">
        <f t="shared" si="31"/>
        <v>2.4129411764705878E-5</v>
      </c>
      <c r="F165" s="179">
        <f t="shared" si="32"/>
        <v>5.2739999999999991E-11</v>
      </c>
      <c r="G165" s="180">
        <f>MAX(E165:F165)</f>
        <v>2.4129411764705878E-5</v>
      </c>
      <c r="H165" s="180">
        <f t="shared" si="33"/>
        <v>1.0568682352941176E-4</v>
      </c>
      <c r="I165" s="182">
        <f t="shared" si="34"/>
        <v>1.0568682352941176E-4</v>
      </c>
      <c r="P165" s="181"/>
    </row>
    <row r="166" spans="1:16" s="172" customFormat="1" x14ac:dyDescent="0.2">
      <c r="A166" s="967"/>
      <c r="B166" s="178" t="s">
        <v>141</v>
      </c>
      <c r="C166" s="179">
        <v>8.3999999999999995E-5</v>
      </c>
      <c r="D166" s="179"/>
      <c r="E166" s="179">
        <f t="shared" si="31"/>
        <v>1.4477647058823526E-6</v>
      </c>
      <c r="F166" s="179"/>
      <c r="G166" s="180">
        <f t="shared" si="30"/>
        <v>1.4477647058823526E-6</v>
      </c>
      <c r="H166" s="180">
        <f t="shared" si="33"/>
        <v>6.3412094117647046E-6</v>
      </c>
      <c r="I166" s="182">
        <f t="shared" si="34"/>
        <v>6.3412094117647046E-6</v>
      </c>
      <c r="P166" s="181"/>
    </row>
    <row r="167" spans="1:16" s="172" customFormat="1" x14ac:dyDescent="0.2">
      <c r="A167" s="967"/>
      <c r="B167" s="178" t="s">
        <v>142</v>
      </c>
      <c r="C167" s="179">
        <v>3.8000000000000002E-4</v>
      </c>
      <c r="D167" s="179">
        <f>(0.000006)*$H$8/1000</f>
        <v>8.4002999999999994E-10</v>
      </c>
      <c r="E167" s="179">
        <f t="shared" si="31"/>
        <v>6.5494117647058819E-6</v>
      </c>
      <c r="F167" s="179">
        <f t="shared" si="32"/>
        <v>1.0547999999999998E-10</v>
      </c>
      <c r="G167" s="180">
        <f t="shared" si="30"/>
        <v>6.5494117647058819E-6</v>
      </c>
      <c r="H167" s="180">
        <f t="shared" si="33"/>
        <v>2.8686423529411763E-5</v>
      </c>
      <c r="I167" s="182">
        <f t="shared" si="34"/>
        <v>2.8686423529411763E-5</v>
      </c>
      <c r="K167" s="169"/>
      <c r="P167" s="181"/>
    </row>
    <row r="168" spans="1:16" s="172" customFormat="1" x14ac:dyDescent="0.2">
      <c r="A168" s="967"/>
      <c r="B168" s="178" t="s">
        <v>143</v>
      </c>
      <c r="C168" s="183">
        <v>2.5999999999999998E-4</v>
      </c>
      <c r="D168" s="179">
        <f>(0.000003)*$H$8/1000</f>
        <v>4.2001499999999997E-10</v>
      </c>
      <c r="E168" s="179">
        <f t="shared" si="31"/>
        <v>4.4811764705882347E-6</v>
      </c>
      <c r="F168" s="179">
        <f t="shared" si="32"/>
        <v>5.2739999999999991E-11</v>
      </c>
      <c r="G168" s="182">
        <f t="shared" si="30"/>
        <v>4.4811764705882347E-6</v>
      </c>
      <c r="H168" s="182">
        <f t="shared" si="33"/>
        <v>1.9627552941176469E-5</v>
      </c>
      <c r="I168" s="182">
        <f t="shared" si="34"/>
        <v>1.9627552941176469E-5</v>
      </c>
      <c r="J168" s="169"/>
      <c r="K168" s="184"/>
      <c r="L168" s="185"/>
      <c r="M168" s="169"/>
      <c r="N168" s="169"/>
      <c r="O168" s="169"/>
      <c r="P168" s="185"/>
    </row>
    <row r="169" spans="1:16" s="172" customFormat="1" x14ac:dyDescent="0.2">
      <c r="A169" s="967"/>
      <c r="B169" s="178" t="s">
        <v>144</v>
      </c>
      <c r="C169" s="179">
        <v>2.0999999999999999E-3</v>
      </c>
      <c r="D169" s="179">
        <f>(0.000003)*$H$8/1000</f>
        <v>4.2001499999999997E-10</v>
      </c>
      <c r="E169" s="179">
        <f t="shared" si="31"/>
        <v>3.6194117647058815E-5</v>
      </c>
      <c r="F169" s="179">
        <f t="shared" si="32"/>
        <v>5.2739999999999991E-11</v>
      </c>
      <c r="G169" s="180">
        <f t="shared" si="30"/>
        <v>3.6194117647058815E-5</v>
      </c>
      <c r="H169" s="180">
        <f t="shared" si="33"/>
        <v>1.5853023529411762E-4</v>
      </c>
      <c r="I169" s="182">
        <f t="shared" si="34"/>
        <v>1.5853023529411762E-4</v>
      </c>
      <c r="N169" s="169"/>
      <c r="O169" s="169"/>
      <c r="P169" s="213"/>
    </row>
    <row r="170" spans="1:16" s="172" customFormat="1" x14ac:dyDescent="0.2">
      <c r="A170" s="967"/>
      <c r="B170" s="178" t="s">
        <v>145</v>
      </c>
      <c r="C170" s="179">
        <v>2.4000000000000001E-5</v>
      </c>
      <c r="D170" s="179">
        <f>(0.000015)*$H$8/1000</f>
        <v>2.1000750000000001E-9</v>
      </c>
      <c r="E170" s="179">
        <f t="shared" si="31"/>
        <v>4.1364705882352939E-7</v>
      </c>
      <c r="F170" s="179">
        <f t="shared" si="32"/>
        <v>2.6369999999999998E-10</v>
      </c>
      <c r="G170" s="180">
        <f t="shared" si="30"/>
        <v>4.1364705882352939E-7</v>
      </c>
      <c r="H170" s="180">
        <f t="shared" si="33"/>
        <v>1.8117741176470586E-6</v>
      </c>
      <c r="I170" s="182">
        <f t="shared" si="34"/>
        <v>1.8117741176470586E-6</v>
      </c>
      <c r="P170" s="213"/>
    </row>
    <row r="171" spans="1:16" s="172" customFormat="1" x14ac:dyDescent="0.2">
      <c r="A171" s="967"/>
      <c r="B171" s="186" t="s">
        <v>146</v>
      </c>
      <c r="C171" s="179"/>
      <c r="D171" s="179"/>
      <c r="E171" s="263">
        <f>SUM(E133:E170)</f>
        <v>3.2560176529411761E-2</v>
      </c>
      <c r="F171" s="263">
        <f>SUM(F133:F170)</f>
        <v>5.1500853411772145E-3</v>
      </c>
      <c r="G171" s="187">
        <f>MAX(E171:F171)</f>
        <v>3.2560176529411761E-2</v>
      </c>
      <c r="H171" s="187">
        <f>G171*8760/2000</f>
        <v>0.14261357319882351</v>
      </c>
      <c r="I171" s="188">
        <f t="shared" si="34"/>
        <v>0.14261357319882351</v>
      </c>
      <c r="K171" s="181"/>
      <c r="P171" s="145"/>
    </row>
    <row r="172" spans="1:16" s="172" customFormat="1" x14ac:dyDescent="0.2">
      <c r="A172" s="967"/>
      <c r="B172" s="186" t="s">
        <v>147</v>
      </c>
      <c r="C172" s="179">
        <v>5.0000000000000001E-4</v>
      </c>
      <c r="D172" s="179">
        <f>(0.000009)*$H$8/1000</f>
        <v>1.2600450000000001E-9</v>
      </c>
      <c r="E172" s="179">
        <f>C172*$B$131</f>
        <v>8.6176470588235283E-6</v>
      </c>
      <c r="F172" s="179">
        <f t="shared" si="32"/>
        <v>1.5822E-10</v>
      </c>
      <c r="G172" s="180">
        <f>MAX(E172:F172)</f>
        <v>8.6176470588235283E-6</v>
      </c>
      <c r="H172" s="180">
        <f t="shared" si="33"/>
        <v>3.7745294117647058E-5</v>
      </c>
      <c r="I172" s="189">
        <f t="shared" si="34"/>
        <v>3.7745294117647058E-5</v>
      </c>
      <c r="K172" s="181"/>
      <c r="P172" s="145"/>
    </row>
    <row r="173" spans="1:16" s="172" customFormat="1" x14ac:dyDescent="0.2">
      <c r="A173" s="967"/>
      <c r="B173" s="186" t="s">
        <v>148</v>
      </c>
      <c r="C173" s="179">
        <v>7.6</v>
      </c>
      <c r="D173" s="117">
        <f>2+1.3</f>
        <v>3.3</v>
      </c>
      <c r="E173" s="179">
        <f t="shared" si="31"/>
        <v>0.13098823529411763</v>
      </c>
      <c r="F173" s="179">
        <f t="shared" si="32"/>
        <v>0.41437091532445264</v>
      </c>
      <c r="G173" s="187">
        <f>MAX(E173:F173)</f>
        <v>0.41437091532445264</v>
      </c>
      <c r="H173" s="187">
        <f t="shared" si="33"/>
        <v>1.8149446091211026</v>
      </c>
      <c r="I173" s="188">
        <f t="shared" si="34"/>
        <v>1.8149446091211026</v>
      </c>
      <c r="K173" s="181"/>
      <c r="P173" s="145"/>
    </row>
    <row r="174" spans="1:16" s="172" customFormat="1" ht="14.25" x14ac:dyDescent="0.25">
      <c r="A174" s="967"/>
      <c r="B174" s="186" t="s">
        <v>8</v>
      </c>
      <c r="C174" s="179">
        <v>7.6</v>
      </c>
      <c r="D174" s="117">
        <f>1+1.3</f>
        <v>2.2999999999999998</v>
      </c>
      <c r="E174" s="179">
        <f t="shared" si="31"/>
        <v>0.13098823529411763</v>
      </c>
      <c r="F174" s="179">
        <f t="shared" si="32"/>
        <v>0.28880397128673974</v>
      </c>
      <c r="G174" s="187">
        <f>MAX(E174:F174)</f>
        <v>0.28880397128673974</v>
      </c>
      <c r="H174" s="187">
        <f t="shared" si="33"/>
        <v>1.2649613942359201</v>
      </c>
      <c r="I174" s="188">
        <f t="shared" si="34"/>
        <v>1.2649613942359201</v>
      </c>
      <c r="K174" s="181"/>
      <c r="P174" s="145"/>
    </row>
    <row r="175" spans="1:16" s="172" customFormat="1" ht="14.25" x14ac:dyDescent="0.25">
      <c r="A175" s="967"/>
      <c r="B175" s="186" t="s">
        <v>7</v>
      </c>
      <c r="C175" s="179">
        <v>7.6</v>
      </c>
      <c r="D175" s="117">
        <f>0.25+1.3</f>
        <v>1.55</v>
      </c>
      <c r="E175" s="179">
        <f t="shared" si="31"/>
        <v>0.13098823529411763</v>
      </c>
      <c r="F175" s="179">
        <f t="shared" si="32"/>
        <v>0.19462876325845505</v>
      </c>
      <c r="G175" s="187">
        <f>F175</f>
        <v>0.19462876325845505</v>
      </c>
      <c r="H175" s="187">
        <f t="shared" si="33"/>
        <v>0.85247398307203315</v>
      </c>
      <c r="I175" s="188">
        <f t="shared" si="34"/>
        <v>0.85247398307203315</v>
      </c>
      <c r="K175" s="181"/>
      <c r="P175" s="145"/>
    </row>
    <row r="176" spans="1:16" s="172" customFormat="1" ht="14.25" x14ac:dyDescent="0.25">
      <c r="A176" s="967"/>
      <c r="B176" s="186" t="s">
        <v>220</v>
      </c>
      <c r="C176" s="179">
        <v>0.6</v>
      </c>
      <c r="D176" s="179">
        <f>142*L130</f>
        <v>71</v>
      </c>
      <c r="E176" s="179">
        <f t="shared" si="31"/>
        <v>1.0341176470588234E-2</v>
      </c>
      <c r="F176" s="179">
        <f>D176*$B$130</f>
        <v>8.9152530266776182</v>
      </c>
      <c r="G176" s="187">
        <f t="shared" ref="G176:G181" si="35">MAX(E176:F176)</f>
        <v>8.9152530266776182</v>
      </c>
      <c r="H176" s="187">
        <f t="shared" si="33"/>
        <v>39.048808256847963</v>
      </c>
      <c r="I176" s="188">
        <f t="shared" ref="I176:I181" si="36">G176*8760/2000</f>
        <v>39.048808256847963</v>
      </c>
      <c r="K176" s="181"/>
      <c r="P176" s="145"/>
    </row>
    <row r="177" spans="1:16" s="172" customFormat="1" x14ac:dyDescent="0.2">
      <c r="A177" s="967"/>
      <c r="B177" s="186" t="s">
        <v>152</v>
      </c>
      <c r="C177" s="179">
        <v>100</v>
      </c>
      <c r="D177" s="179">
        <v>20</v>
      </c>
      <c r="E177" s="179">
        <f t="shared" si="31"/>
        <v>1.7235294117647058</v>
      </c>
      <c r="F177" s="179">
        <f t="shared" si="32"/>
        <v>2.5113388807542587</v>
      </c>
      <c r="G177" s="187">
        <f t="shared" si="35"/>
        <v>2.5113388807542587</v>
      </c>
      <c r="H177" s="187">
        <f t="shared" si="33"/>
        <v>10.999664297703653</v>
      </c>
      <c r="I177" s="188">
        <f t="shared" si="36"/>
        <v>10.999664297703653</v>
      </c>
      <c r="K177" s="181"/>
      <c r="N177" s="169"/>
      <c r="O177" s="169"/>
      <c r="P177" s="146"/>
    </row>
    <row r="178" spans="1:16" s="172" customFormat="1" x14ac:dyDescent="0.2">
      <c r="A178" s="967"/>
      <c r="B178" s="186" t="s">
        <v>6</v>
      </c>
      <c r="C178" s="179">
        <v>5.5</v>
      </c>
      <c r="D178" s="179">
        <v>0.2</v>
      </c>
      <c r="E178" s="179">
        <f t="shared" si="31"/>
        <v>9.4794117647058806E-2</v>
      </c>
      <c r="F178" s="179">
        <f t="shared" si="32"/>
        <v>2.5113388807542589E-2</v>
      </c>
      <c r="G178" s="187">
        <f t="shared" si="35"/>
        <v>9.4794117647058806E-2</v>
      </c>
      <c r="H178" s="187">
        <f t="shared" si="33"/>
        <v>0.41519823529411759</v>
      </c>
      <c r="I178" s="188">
        <f t="shared" si="36"/>
        <v>0.41519823529411759</v>
      </c>
      <c r="K178" s="181"/>
      <c r="O178" s="199"/>
      <c r="P178" s="145"/>
    </row>
    <row r="179" spans="1:16" s="172" customFormat="1" x14ac:dyDescent="0.2">
      <c r="A179" s="967"/>
      <c r="B179" s="186" t="s">
        <v>189</v>
      </c>
      <c r="C179" s="179">
        <v>84</v>
      </c>
      <c r="D179" s="183">
        <v>5</v>
      </c>
      <c r="E179" s="179">
        <f t="shared" si="31"/>
        <v>1.4477647058823528</v>
      </c>
      <c r="F179" s="179">
        <f t="shared" si="32"/>
        <v>0.62783472018856468</v>
      </c>
      <c r="G179" s="187">
        <f t="shared" si="35"/>
        <v>1.4477647058823528</v>
      </c>
      <c r="H179" s="187">
        <f>G179*8760/2000</f>
        <v>6.341209411764706</v>
      </c>
      <c r="I179" s="188">
        <f t="shared" si="36"/>
        <v>6.341209411764706</v>
      </c>
      <c r="K179" s="181"/>
      <c r="O179" s="199"/>
      <c r="P179" s="214"/>
    </row>
    <row r="180" spans="1:16" s="172" customFormat="1" ht="14.25" x14ac:dyDescent="0.25">
      <c r="A180" s="967"/>
      <c r="B180" s="186" t="s">
        <v>237</v>
      </c>
      <c r="C180" s="179">
        <v>120000</v>
      </c>
      <c r="D180" s="179">
        <v>22300</v>
      </c>
      <c r="E180" s="179">
        <f t="shared" si="31"/>
        <v>2068.2352941176468</v>
      </c>
      <c r="F180" s="179">
        <f t="shared" si="32"/>
        <v>2800.1428520409982</v>
      </c>
      <c r="G180" s="192">
        <f t="shared" si="35"/>
        <v>2800.1428520409982</v>
      </c>
      <c r="H180" s="192">
        <f>G180*8760/2000</f>
        <v>12264.625691939571</v>
      </c>
      <c r="I180" s="193">
        <f t="shared" si="36"/>
        <v>12264.625691939571</v>
      </c>
      <c r="J180" s="195"/>
      <c r="K180" s="181"/>
      <c r="P180" s="145"/>
    </row>
    <row r="181" spans="1:16" s="172" customFormat="1" ht="14.25" x14ac:dyDescent="0.25">
      <c r="A181" s="967"/>
      <c r="B181" s="186" t="s">
        <v>238</v>
      </c>
      <c r="C181" s="179">
        <v>2.2999999999999998</v>
      </c>
      <c r="D181" s="179">
        <v>5.1999999999999998E-2</v>
      </c>
      <c r="E181" s="179">
        <f t="shared" si="31"/>
        <v>3.9641176470588228E-2</v>
      </c>
      <c r="F181" s="179">
        <f t="shared" si="32"/>
        <v>6.5294810899610718E-3</v>
      </c>
      <c r="G181" s="208">
        <f t="shared" si="35"/>
        <v>3.9641176470588228E-2</v>
      </c>
      <c r="H181" s="208">
        <f t="shared" si="33"/>
        <v>0.17362835294117646</v>
      </c>
      <c r="I181" s="210">
        <f t="shared" si="36"/>
        <v>0.17362835294117646</v>
      </c>
      <c r="J181" s="195"/>
      <c r="K181" s="181"/>
      <c r="P181" s="145"/>
    </row>
    <row r="182" spans="1:16" s="172" customFormat="1" ht="14.25" x14ac:dyDescent="0.25">
      <c r="A182" s="967"/>
      <c r="B182" s="186" t="s">
        <v>239</v>
      </c>
      <c r="C182" s="179">
        <v>2.2000000000000002</v>
      </c>
      <c r="D182" s="179">
        <v>0.26</v>
      </c>
      <c r="E182" s="179">
        <f>C182*$B$131</f>
        <v>3.7917647058823528E-2</v>
      </c>
      <c r="F182" s="179">
        <f>D182*$B$130</f>
        <v>3.2647405449805364E-2</v>
      </c>
      <c r="G182" s="208">
        <f>MAX(E182:F182)</f>
        <v>3.7917647058823528E-2</v>
      </c>
      <c r="H182" s="208">
        <f>G182*8760/2000</f>
        <v>0.16607929411764707</v>
      </c>
      <c r="I182" s="210">
        <f>G182*8760/2000</f>
        <v>0.16607929411764707</v>
      </c>
      <c r="J182" s="195"/>
      <c r="K182" s="181"/>
      <c r="P182" s="145"/>
    </row>
    <row r="183" spans="1:16" s="172" customFormat="1" x14ac:dyDescent="0.2">
      <c r="A183" s="967"/>
      <c r="B183" s="186" t="s">
        <v>158</v>
      </c>
      <c r="C183" s="211"/>
      <c r="D183" s="211"/>
      <c r="E183" s="211">
        <f>SUM(E180:E182)</f>
        <v>2068.3128529411761</v>
      </c>
      <c r="F183" s="211">
        <f>SUM(F180:F182)</f>
        <v>2800.1820289275383</v>
      </c>
      <c r="G183" s="215">
        <f>SUM(G180:G182)</f>
        <v>2800.2204108645274</v>
      </c>
      <c r="H183" s="192">
        <f>SUM(H180:H182)</f>
        <v>12264.96539958663</v>
      </c>
      <c r="I183" s="193">
        <f>SUM(I180:I182)</f>
        <v>12264.96539958663</v>
      </c>
      <c r="J183" s="195"/>
      <c r="K183" s="181"/>
      <c r="P183" s="145"/>
    </row>
    <row r="184" spans="1:16" s="172" customFormat="1" ht="14.25" x14ac:dyDescent="0.25">
      <c r="A184" s="967"/>
      <c r="B184" s="186" t="s">
        <v>221</v>
      </c>
      <c r="C184" s="179"/>
      <c r="D184" s="179"/>
      <c r="E184" s="179">
        <f>E180+(E181*25)+(E182*298)</f>
        <v>2080.525782352941</v>
      </c>
      <c r="F184" s="179">
        <f>F180+(F181*25)+(F182*298)</f>
        <v>2810.0350158922893</v>
      </c>
      <c r="G184" s="208">
        <f>G180+(G181*25)+(G182*298)</f>
        <v>2812.4333402762923</v>
      </c>
      <c r="H184" s="192">
        <f>H180+(H181*25)+(H182*298)</f>
        <v>12318.458030410158</v>
      </c>
      <c r="I184" s="193">
        <f>I180+(I181*25)+(I182*298)</f>
        <v>12318.458030410158</v>
      </c>
      <c r="J184" s="195"/>
      <c r="K184" s="181"/>
      <c r="P184" s="145"/>
    </row>
    <row r="185" spans="1:16" x14ac:dyDescent="0.2">
      <c r="A185" s="216"/>
      <c r="B185" s="199"/>
      <c r="C185" s="217"/>
      <c r="D185" s="217"/>
      <c r="E185" s="218"/>
      <c r="F185" s="218"/>
      <c r="G185" s="219"/>
      <c r="H185" s="219"/>
      <c r="I185" s="219"/>
      <c r="J185" s="195"/>
      <c r="K185" s="195"/>
      <c r="L185" s="195"/>
      <c r="M185" s="194"/>
      <c r="N185" s="195"/>
    </row>
    <row r="186" spans="1:16" ht="13.5" thickBot="1" x14ac:dyDescent="0.25">
      <c r="A186" s="216"/>
      <c r="B186" s="9" t="s">
        <v>248</v>
      </c>
      <c r="C186" s="370" t="s">
        <v>192</v>
      </c>
      <c r="D186" s="370" t="s">
        <v>260</v>
      </c>
      <c r="E186" s="218"/>
      <c r="F186" s="218"/>
      <c r="G186" s="219"/>
      <c r="H186" s="219"/>
      <c r="I186" s="219"/>
      <c r="J186" s="195"/>
      <c r="K186" s="195"/>
      <c r="L186" s="195"/>
      <c r="M186" s="194"/>
      <c r="N186" s="195"/>
    </row>
    <row r="187" spans="1:16" ht="14.25" x14ac:dyDescent="0.25">
      <c r="A187" s="216"/>
      <c r="B187" s="367" t="s">
        <v>237</v>
      </c>
      <c r="C187" s="375">
        <f>SUM(I59,G120,G180)</f>
        <v>11892.542980607835</v>
      </c>
      <c r="D187" s="371">
        <f>C187*8760/2000</f>
        <v>52089.338255062321</v>
      </c>
      <c r="E187" s="218"/>
      <c r="F187" s="218"/>
      <c r="G187" s="219"/>
      <c r="H187" s="219"/>
      <c r="I187" s="219"/>
      <c r="J187" s="195"/>
      <c r="K187" s="195"/>
      <c r="L187" s="195"/>
      <c r="M187" s="194"/>
      <c r="N187" s="195"/>
    </row>
    <row r="188" spans="1:16" ht="14.25" x14ac:dyDescent="0.25">
      <c r="A188" s="216"/>
      <c r="B188" s="368" t="s">
        <v>238</v>
      </c>
      <c r="C188" s="160">
        <f>SUM(I60,G121,G181)</f>
        <v>0.39091568627450984</v>
      </c>
      <c r="D188" s="372">
        <f>C188*8760/2000</f>
        <v>1.712210705882353</v>
      </c>
      <c r="E188" s="218"/>
      <c r="F188" s="218"/>
      <c r="G188" s="219"/>
      <c r="H188" s="219"/>
      <c r="I188" s="219"/>
      <c r="J188" s="195"/>
      <c r="K188" s="195"/>
      <c r="L188" s="195"/>
      <c r="M188" s="194"/>
      <c r="N188" s="195"/>
    </row>
    <row r="189" spans="1:16" ht="14.25" x14ac:dyDescent="0.25">
      <c r="A189" s="216"/>
      <c r="B189" s="368" t="s">
        <v>239</v>
      </c>
      <c r="C189" s="376">
        <f>SUM(I61,G122,G182)</f>
        <v>0.22890196078431374</v>
      </c>
      <c r="D189" s="372">
        <f>C189*8760/2000</f>
        <v>1.0025905882352941</v>
      </c>
      <c r="E189" s="218"/>
      <c r="F189" s="218"/>
      <c r="G189" s="219"/>
      <c r="H189" s="219"/>
      <c r="I189" s="219"/>
      <c r="J189" s="195"/>
      <c r="K189" s="195"/>
      <c r="L189" s="195"/>
      <c r="M189" s="194"/>
      <c r="N189" s="195"/>
    </row>
    <row r="190" spans="1:16" x14ac:dyDescent="0.2">
      <c r="A190" s="216"/>
      <c r="B190" s="368" t="s">
        <v>158</v>
      </c>
      <c r="C190" s="378">
        <f>SUM(I62,G123,G183)</f>
        <v>11893.162798254894</v>
      </c>
      <c r="D190" s="373">
        <f>C190*8760/2000</f>
        <v>52092.053056356439</v>
      </c>
      <c r="E190" s="218"/>
      <c r="F190" s="218"/>
      <c r="G190" s="219"/>
      <c r="H190" s="219"/>
      <c r="I190" s="219"/>
      <c r="J190" s="195"/>
      <c r="K190" s="195"/>
      <c r="L190" s="195"/>
      <c r="M190" s="194"/>
      <c r="N190" s="195"/>
    </row>
    <row r="191" spans="1:16" ht="15" thickBot="1" x14ac:dyDescent="0.3">
      <c r="A191" s="216"/>
      <c r="B191" s="369" t="s">
        <v>221</v>
      </c>
      <c r="C191" s="378">
        <f>SUM(I63,G124,G184)</f>
        <v>11970.528657078423</v>
      </c>
      <c r="D191" s="374">
        <f>C191*8760/2000</f>
        <v>52430.915518003494</v>
      </c>
      <c r="E191" s="218"/>
      <c r="F191" s="218"/>
      <c r="G191" s="219"/>
      <c r="H191" s="219"/>
      <c r="I191" s="219"/>
      <c r="J191" s="195"/>
      <c r="K191" s="195"/>
      <c r="L191" s="195"/>
      <c r="M191" s="194"/>
      <c r="N191" s="195"/>
    </row>
    <row r="192" spans="1:16" x14ac:dyDescent="0.2">
      <c r="A192" s="216"/>
      <c r="B192" s="199"/>
      <c r="C192" s="217"/>
      <c r="D192" s="217"/>
      <c r="E192" s="218"/>
      <c r="F192" s="218"/>
      <c r="G192" s="219"/>
      <c r="H192" s="219"/>
      <c r="I192" s="219"/>
      <c r="J192" s="195"/>
      <c r="K192" s="195"/>
      <c r="L192" s="195"/>
      <c r="M192" s="194"/>
      <c r="N192" s="195"/>
    </row>
    <row r="193" spans="1:14" x14ac:dyDescent="0.2">
      <c r="A193" s="216"/>
      <c r="B193" s="199"/>
      <c r="C193" s="217"/>
      <c r="D193" s="217"/>
      <c r="E193" s="218"/>
      <c r="F193" s="218"/>
      <c r="G193" s="219"/>
      <c r="H193" s="219"/>
      <c r="I193" s="219"/>
      <c r="J193" s="195"/>
      <c r="K193" s="195"/>
      <c r="L193" s="195"/>
      <c r="M193" s="194"/>
      <c r="N193" s="195"/>
    </row>
    <row r="194" spans="1:14" x14ac:dyDescent="0.2">
      <c r="A194" s="216"/>
      <c r="B194" s="199"/>
      <c r="C194" s="217"/>
      <c r="D194" s="217"/>
      <c r="E194" s="218"/>
      <c r="F194" s="218"/>
      <c r="G194" s="219"/>
      <c r="H194" s="219"/>
      <c r="I194" s="219"/>
      <c r="J194" s="195"/>
      <c r="K194" s="195"/>
      <c r="L194" s="195"/>
      <c r="M194" s="194"/>
      <c r="N194" s="195"/>
    </row>
    <row r="195" spans="1:14" x14ac:dyDescent="0.2">
      <c r="A195" s="216"/>
      <c r="B195" s="199"/>
      <c r="C195" s="217"/>
      <c r="D195" s="217"/>
      <c r="E195" s="218"/>
      <c r="F195" s="218"/>
      <c r="G195" s="219"/>
      <c r="H195" s="219"/>
      <c r="I195" s="219"/>
      <c r="J195" s="195"/>
      <c r="K195" s="195"/>
      <c r="L195" s="195"/>
      <c r="M195" s="194"/>
      <c r="N195" s="195"/>
    </row>
    <row r="196" spans="1:14" x14ac:dyDescent="0.2">
      <c r="A196" s="216"/>
      <c r="B196" s="199"/>
      <c r="C196" s="217"/>
      <c r="D196" s="217"/>
      <c r="E196" s="218"/>
      <c r="F196" s="218"/>
      <c r="G196" s="219"/>
      <c r="H196" s="219"/>
      <c r="I196" s="219"/>
      <c r="J196" s="195"/>
      <c r="K196" s="195"/>
      <c r="L196" s="195"/>
      <c r="M196" s="194"/>
      <c r="N196" s="195"/>
    </row>
    <row r="197" spans="1:14" x14ac:dyDescent="0.2">
      <c r="A197" s="216"/>
      <c r="B197" s="199"/>
      <c r="C197" s="217"/>
      <c r="D197" s="217"/>
      <c r="E197" s="218"/>
      <c r="F197" s="218"/>
      <c r="G197" s="219"/>
      <c r="H197" s="219"/>
      <c r="I197" s="219"/>
      <c r="J197" s="195"/>
      <c r="K197" s="195"/>
      <c r="L197" s="195"/>
      <c r="M197" s="194"/>
      <c r="N197" s="195"/>
    </row>
    <row r="198" spans="1:14" x14ac:dyDescent="0.2">
      <c r="A198" s="216"/>
      <c r="B198" s="199"/>
      <c r="C198" s="217"/>
      <c r="D198" s="217"/>
      <c r="E198" s="218"/>
      <c r="F198" s="218"/>
      <c r="G198" s="219"/>
      <c r="H198" s="219"/>
      <c r="I198" s="219"/>
      <c r="J198" s="195"/>
      <c r="K198" s="195"/>
      <c r="L198" s="195"/>
      <c r="M198" s="194"/>
      <c r="N198" s="195"/>
    </row>
    <row r="199" spans="1:14" x14ac:dyDescent="0.2">
      <c r="A199" s="216"/>
      <c r="B199" s="199"/>
      <c r="C199" s="217"/>
      <c r="D199" s="217"/>
      <c r="E199" s="218"/>
      <c r="F199" s="218"/>
      <c r="G199" s="219"/>
      <c r="H199" s="219"/>
      <c r="I199" s="219"/>
      <c r="J199" s="195"/>
      <c r="K199" s="195"/>
      <c r="L199" s="195"/>
      <c r="M199" s="194"/>
      <c r="N199" s="195"/>
    </row>
    <row r="200" spans="1:14" x14ac:dyDescent="0.2">
      <c r="A200" s="216"/>
      <c r="B200" s="199"/>
      <c r="C200" s="217"/>
      <c r="D200" s="217"/>
      <c r="E200" s="218"/>
      <c r="F200" s="218"/>
      <c r="G200" s="219"/>
      <c r="H200" s="219"/>
      <c r="I200" s="219"/>
      <c r="J200" s="195"/>
      <c r="K200" s="195"/>
      <c r="L200" s="195"/>
      <c r="M200" s="194"/>
      <c r="N200" s="195"/>
    </row>
    <row r="201" spans="1:14" x14ac:dyDescent="0.2">
      <c r="A201" s="216"/>
      <c r="B201" s="199"/>
      <c r="C201" s="217"/>
      <c r="D201" s="217"/>
      <c r="E201" s="218"/>
      <c r="F201" s="218"/>
      <c r="G201" s="219"/>
      <c r="H201" s="219"/>
      <c r="I201" s="219"/>
      <c r="J201" s="195"/>
      <c r="K201" s="195"/>
      <c r="L201" s="195"/>
      <c r="M201" s="194"/>
      <c r="N201" s="195"/>
    </row>
    <row r="202" spans="1:14" x14ac:dyDescent="0.2">
      <c r="A202" s="216"/>
      <c r="B202" s="199"/>
      <c r="C202" s="217"/>
      <c r="D202" s="217"/>
      <c r="E202" s="218"/>
      <c r="F202" s="218"/>
      <c r="G202" s="219"/>
      <c r="H202" s="219"/>
      <c r="I202" s="219"/>
      <c r="J202" s="195"/>
      <c r="K202" s="195"/>
      <c r="L202" s="195"/>
      <c r="M202" s="194"/>
      <c r="N202" s="195"/>
    </row>
    <row r="203" spans="1:14" x14ac:dyDescent="0.2">
      <c r="A203" s="216"/>
      <c r="B203" s="199"/>
      <c r="C203" s="217"/>
      <c r="D203" s="217"/>
      <c r="E203" s="218"/>
      <c r="F203" s="218"/>
      <c r="G203" s="219"/>
      <c r="H203" s="219"/>
      <c r="I203" s="219"/>
      <c r="J203" s="195"/>
      <c r="K203" s="195"/>
      <c r="L203" s="195"/>
      <c r="M203" s="194"/>
      <c r="N203" s="195"/>
    </row>
    <row r="204" spans="1:14" x14ac:dyDescent="0.2">
      <c r="A204" s="216"/>
      <c r="B204" s="199"/>
      <c r="C204" s="217"/>
      <c r="D204" s="217"/>
      <c r="E204" s="218"/>
      <c r="F204" s="218"/>
      <c r="G204" s="219"/>
      <c r="H204" s="219"/>
      <c r="I204" s="219"/>
      <c r="J204" s="195"/>
      <c r="K204" s="195"/>
      <c r="L204" s="195"/>
      <c r="M204" s="194"/>
      <c r="N204" s="195"/>
    </row>
    <row r="205" spans="1:14" x14ac:dyDescent="0.2">
      <c r="A205" s="216"/>
      <c r="B205" s="199"/>
      <c r="C205" s="217"/>
      <c r="D205" s="217"/>
      <c r="E205" s="218"/>
      <c r="F205" s="218"/>
      <c r="G205" s="219"/>
      <c r="H205" s="219"/>
      <c r="I205" s="219"/>
      <c r="J205" s="195"/>
      <c r="K205" s="195"/>
      <c r="L205" s="195"/>
      <c r="M205" s="194"/>
      <c r="N205" s="195"/>
    </row>
    <row r="206" spans="1:14" x14ac:dyDescent="0.2">
      <c r="A206" s="216"/>
      <c r="B206" s="199"/>
      <c r="C206" s="217"/>
      <c r="D206" s="217"/>
      <c r="E206" s="218"/>
      <c r="F206" s="218"/>
      <c r="G206" s="219"/>
      <c r="H206" s="219"/>
      <c r="I206" s="219"/>
      <c r="J206" s="195"/>
      <c r="K206" s="195"/>
      <c r="L206" s="195"/>
      <c r="M206" s="194"/>
      <c r="N206" s="195"/>
    </row>
    <row r="207" spans="1:14" x14ac:dyDescent="0.2">
      <c r="A207" s="216"/>
      <c r="B207" s="199"/>
      <c r="C207" s="217"/>
      <c r="D207" s="217"/>
      <c r="E207" s="218"/>
      <c r="F207" s="218"/>
      <c r="G207" s="219"/>
      <c r="H207" s="219"/>
      <c r="I207" s="219"/>
      <c r="J207" s="195"/>
      <c r="K207" s="195"/>
      <c r="L207" s="195"/>
      <c r="M207" s="194"/>
      <c r="N207" s="195"/>
    </row>
    <row r="208" spans="1:14" x14ac:dyDescent="0.2">
      <c r="A208" s="216"/>
      <c r="B208" s="199"/>
      <c r="C208" s="217"/>
      <c r="D208" s="217"/>
      <c r="E208" s="218"/>
      <c r="F208" s="218"/>
      <c r="G208" s="219"/>
      <c r="H208" s="219"/>
      <c r="I208" s="219"/>
      <c r="J208" s="195"/>
      <c r="K208" s="195"/>
      <c r="L208" s="195"/>
      <c r="M208" s="194"/>
      <c r="N208" s="195"/>
    </row>
    <row r="209" spans="1:14" x14ac:dyDescent="0.2">
      <c r="A209" s="216"/>
      <c r="B209" s="199"/>
      <c r="C209" s="217"/>
      <c r="D209" s="217"/>
      <c r="E209" s="218"/>
      <c r="F209" s="218"/>
      <c r="G209" s="219"/>
      <c r="H209" s="219"/>
      <c r="I209" s="219"/>
      <c r="J209" s="195"/>
      <c r="K209" s="195"/>
      <c r="L209" s="195"/>
      <c r="M209" s="194"/>
      <c r="N209" s="195"/>
    </row>
    <row r="210" spans="1:14" x14ac:dyDescent="0.2">
      <c r="A210" s="216"/>
      <c r="B210" s="199"/>
      <c r="C210" s="217"/>
      <c r="D210" s="217"/>
      <c r="E210" s="218"/>
      <c r="F210" s="218"/>
      <c r="G210" s="219"/>
      <c r="H210" s="219"/>
      <c r="I210" s="219"/>
      <c r="J210" s="195"/>
      <c r="K210" s="195"/>
      <c r="L210" s="195"/>
      <c r="M210" s="194"/>
      <c r="N210" s="195"/>
    </row>
    <row r="211" spans="1:14" x14ac:dyDescent="0.2">
      <c r="A211" s="216"/>
      <c r="B211" s="199"/>
      <c r="C211" s="217"/>
      <c r="D211" s="217"/>
      <c r="E211" s="218"/>
      <c r="F211" s="218"/>
      <c r="G211" s="219"/>
      <c r="H211" s="219"/>
      <c r="I211" s="219"/>
      <c r="J211" s="195"/>
      <c r="K211" s="195"/>
      <c r="L211" s="195"/>
      <c r="M211" s="194"/>
      <c r="N211" s="195"/>
    </row>
    <row r="212" spans="1:14" x14ac:dyDescent="0.2">
      <c r="A212" s="216"/>
      <c r="B212" s="199"/>
      <c r="C212" s="217"/>
      <c r="D212" s="217"/>
      <c r="E212" s="218"/>
      <c r="F212" s="218"/>
      <c r="G212" s="219"/>
      <c r="H212" s="219"/>
      <c r="I212" s="219"/>
      <c r="J212" s="195"/>
      <c r="K212" s="195"/>
      <c r="L212" s="195"/>
      <c r="M212" s="194"/>
      <c r="N212" s="195"/>
    </row>
    <row r="213" spans="1:14" x14ac:dyDescent="0.2">
      <c r="A213" s="216"/>
      <c r="B213" s="199"/>
      <c r="C213" s="217"/>
      <c r="D213" s="217"/>
      <c r="E213" s="218"/>
      <c r="F213" s="218"/>
      <c r="G213" s="219"/>
      <c r="H213" s="219"/>
      <c r="I213" s="219"/>
      <c r="J213" s="195"/>
      <c r="K213" s="195"/>
      <c r="L213" s="195"/>
      <c r="M213" s="194"/>
      <c r="N213" s="195"/>
    </row>
    <row r="214" spans="1:14" x14ac:dyDescent="0.2">
      <c r="A214" s="216"/>
      <c r="B214" s="199"/>
      <c r="C214" s="217"/>
      <c r="D214" s="217"/>
      <c r="E214" s="218"/>
      <c r="F214" s="218"/>
      <c r="G214" s="219"/>
      <c r="H214" s="219"/>
      <c r="I214" s="219"/>
      <c r="J214" s="195"/>
      <c r="K214" s="195"/>
      <c r="L214" s="195"/>
      <c r="M214" s="194"/>
      <c r="N214" s="195"/>
    </row>
    <row r="215" spans="1:14" x14ac:dyDescent="0.2">
      <c r="A215" s="216"/>
      <c r="B215" s="199"/>
      <c r="C215" s="217"/>
      <c r="D215" s="217"/>
      <c r="E215" s="218"/>
      <c r="F215" s="218"/>
      <c r="G215" s="219"/>
      <c r="H215" s="219"/>
      <c r="I215" s="219"/>
      <c r="J215" s="195"/>
      <c r="K215" s="195"/>
      <c r="L215" s="195"/>
      <c r="M215" s="194"/>
      <c r="N215" s="195"/>
    </row>
    <row r="216" spans="1:14" x14ac:dyDescent="0.2">
      <c r="A216" s="216"/>
      <c r="B216" s="199"/>
      <c r="C216" s="217"/>
      <c r="D216" s="217"/>
      <c r="E216" s="218"/>
      <c r="F216" s="218"/>
      <c r="G216" s="219"/>
      <c r="H216" s="219"/>
      <c r="I216" s="219"/>
      <c r="J216" s="195"/>
      <c r="K216" s="195"/>
      <c r="L216" s="195"/>
      <c r="M216" s="194"/>
      <c r="N216" s="195"/>
    </row>
    <row r="217" spans="1:14" x14ac:dyDescent="0.2">
      <c r="A217" s="216"/>
      <c r="B217" s="199"/>
      <c r="C217" s="217"/>
      <c r="D217" s="217"/>
      <c r="E217" s="218"/>
      <c r="F217" s="218"/>
      <c r="G217" s="219"/>
      <c r="H217" s="219"/>
      <c r="I217" s="219"/>
      <c r="J217" s="195"/>
      <c r="K217" s="195"/>
      <c r="L217" s="195"/>
      <c r="M217" s="194"/>
      <c r="N217" s="195"/>
    </row>
    <row r="218" spans="1:14" x14ac:dyDescent="0.2">
      <c r="A218" s="216"/>
      <c r="B218" s="199"/>
      <c r="C218" s="217"/>
      <c r="D218" s="217"/>
      <c r="E218" s="218"/>
      <c r="F218" s="218"/>
      <c r="G218" s="219"/>
      <c r="H218" s="219"/>
      <c r="I218" s="219"/>
      <c r="J218" s="195"/>
      <c r="K218" s="195"/>
      <c r="L218" s="195"/>
      <c r="M218" s="194"/>
      <c r="N218" s="195"/>
    </row>
    <row r="219" spans="1:14" x14ac:dyDescent="0.2">
      <c r="A219" s="216"/>
      <c r="B219" s="199"/>
      <c r="C219" s="217"/>
      <c r="D219" s="217"/>
      <c r="E219" s="218"/>
      <c r="F219" s="218"/>
      <c r="G219" s="219"/>
      <c r="H219" s="219"/>
      <c r="I219" s="219"/>
      <c r="J219" s="195"/>
      <c r="K219" s="195"/>
      <c r="L219" s="195"/>
      <c r="M219" s="194"/>
      <c r="N219" s="195"/>
    </row>
    <row r="220" spans="1:14" x14ac:dyDescent="0.2">
      <c r="A220" s="216"/>
      <c r="B220" s="199"/>
      <c r="C220" s="217"/>
      <c r="D220" s="217"/>
      <c r="E220" s="218"/>
      <c r="F220" s="218"/>
      <c r="G220" s="219"/>
      <c r="H220" s="219"/>
      <c r="I220" s="219"/>
      <c r="J220" s="195"/>
      <c r="K220" s="195"/>
      <c r="L220" s="195"/>
      <c r="M220" s="194"/>
      <c r="N220" s="195"/>
    </row>
    <row r="221" spans="1:14" x14ac:dyDescent="0.2">
      <c r="A221" s="216"/>
      <c r="B221" s="199"/>
      <c r="C221" s="217"/>
      <c r="D221" s="217"/>
      <c r="E221" s="218"/>
      <c r="F221" s="218"/>
      <c r="G221" s="219"/>
      <c r="H221" s="219"/>
      <c r="I221" s="219"/>
      <c r="J221" s="195"/>
      <c r="K221" s="195"/>
      <c r="L221" s="195"/>
      <c r="M221" s="194"/>
      <c r="N221" s="195"/>
    </row>
    <row r="222" spans="1:14" x14ac:dyDescent="0.2">
      <c r="A222" s="216"/>
      <c r="B222" s="199"/>
      <c r="C222" s="217"/>
      <c r="D222" s="217"/>
      <c r="E222" s="218"/>
      <c r="F222" s="218"/>
      <c r="G222" s="219"/>
      <c r="H222" s="219"/>
      <c r="I222" s="219"/>
      <c r="J222" s="195"/>
      <c r="K222" s="195"/>
      <c r="L222" s="195"/>
      <c r="M222" s="194"/>
      <c r="N222" s="195"/>
    </row>
    <row r="223" spans="1:14" x14ac:dyDescent="0.2">
      <c r="A223" s="216"/>
      <c r="B223" s="199"/>
      <c r="C223" s="217"/>
      <c r="D223" s="217"/>
      <c r="E223" s="218"/>
      <c r="F223" s="218"/>
      <c r="G223" s="219"/>
      <c r="H223" s="219"/>
      <c r="I223" s="219"/>
      <c r="J223" s="195"/>
      <c r="K223" s="195"/>
      <c r="L223" s="195"/>
      <c r="M223" s="194"/>
      <c r="N223" s="195"/>
    </row>
    <row r="224" spans="1:14" x14ac:dyDescent="0.2">
      <c r="A224" s="216"/>
      <c r="B224" s="199"/>
      <c r="C224" s="217"/>
      <c r="D224" s="217"/>
      <c r="E224" s="218"/>
      <c r="F224" s="218"/>
      <c r="G224" s="219"/>
      <c r="H224" s="219"/>
      <c r="I224" s="219"/>
      <c r="J224" s="195"/>
      <c r="K224" s="195"/>
      <c r="L224" s="195"/>
      <c r="M224" s="194"/>
      <c r="N224" s="195"/>
    </row>
    <row r="225" spans="1:14" x14ac:dyDescent="0.2">
      <c r="A225" s="216"/>
      <c r="B225" s="199"/>
      <c r="C225" s="217"/>
      <c r="D225" s="217"/>
      <c r="E225" s="218"/>
      <c r="F225" s="218"/>
      <c r="G225" s="219"/>
      <c r="H225" s="219"/>
      <c r="I225" s="219"/>
      <c r="J225" s="195"/>
      <c r="K225" s="195"/>
      <c r="L225" s="195"/>
      <c r="M225" s="194"/>
      <c r="N225" s="195"/>
    </row>
    <row r="226" spans="1:14" x14ac:dyDescent="0.2">
      <c r="A226" s="216"/>
      <c r="B226" s="199"/>
      <c r="C226" s="217"/>
      <c r="D226" s="217"/>
      <c r="E226" s="218"/>
      <c r="F226" s="218"/>
      <c r="G226" s="219"/>
      <c r="H226" s="219"/>
      <c r="I226" s="219"/>
      <c r="J226" s="195"/>
      <c r="K226" s="195"/>
      <c r="L226" s="195"/>
      <c r="M226" s="194"/>
      <c r="N226" s="195"/>
    </row>
    <row r="227" spans="1:14" x14ac:dyDescent="0.2">
      <c r="A227" s="216"/>
      <c r="B227" s="199"/>
      <c r="C227" s="217"/>
      <c r="D227" s="217"/>
      <c r="E227" s="218"/>
      <c r="F227" s="218"/>
      <c r="G227" s="219"/>
      <c r="H227" s="219"/>
      <c r="I227" s="219"/>
      <c r="J227" s="195"/>
      <c r="K227" s="195"/>
      <c r="L227" s="195"/>
      <c r="M227" s="194"/>
      <c r="N227" s="195"/>
    </row>
    <row r="228" spans="1:14" x14ac:dyDescent="0.2">
      <c r="A228" s="216"/>
      <c r="B228" s="199"/>
      <c r="C228" s="217"/>
      <c r="D228" s="217"/>
      <c r="E228" s="218"/>
      <c r="F228" s="218"/>
      <c r="G228" s="219"/>
      <c r="H228" s="219"/>
      <c r="I228" s="219"/>
      <c r="J228" s="195"/>
      <c r="K228" s="195"/>
      <c r="L228" s="195"/>
      <c r="M228" s="194"/>
      <c r="N228" s="195"/>
    </row>
    <row r="229" spans="1:14" x14ac:dyDescent="0.2">
      <c r="A229" s="216"/>
      <c r="B229" s="199"/>
      <c r="C229" s="217"/>
      <c r="D229" s="217"/>
      <c r="E229" s="218"/>
      <c r="F229" s="218"/>
      <c r="G229" s="219"/>
      <c r="H229" s="219"/>
      <c r="I229" s="219"/>
      <c r="J229" s="195"/>
      <c r="K229" s="195"/>
      <c r="L229" s="195"/>
      <c r="M229" s="194"/>
      <c r="N229" s="195"/>
    </row>
    <row r="230" spans="1:14" x14ac:dyDescent="0.2">
      <c r="A230" s="216"/>
      <c r="B230" s="199"/>
      <c r="C230" s="217"/>
      <c r="D230" s="217"/>
      <c r="E230" s="218"/>
      <c r="F230" s="218"/>
      <c r="G230" s="219"/>
      <c r="H230" s="219"/>
      <c r="I230" s="219"/>
      <c r="J230" s="195"/>
      <c r="K230" s="195"/>
      <c r="L230" s="195"/>
      <c r="M230" s="194"/>
      <c r="N230" s="195"/>
    </row>
    <row r="231" spans="1:14" x14ac:dyDescent="0.2">
      <c r="A231" s="216"/>
      <c r="B231" s="199"/>
      <c r="C231" s="217"/>
      <c r="D231" s="217"/>
      <c r="E231" s="218"/>
      <c r="F231" s="218"/>
      <c r="G231" s="219"/>
      <c r="H231" s="219"/>
      <c r="I231" s="219"/>
      <c r="J231" s="195"/>
      <c r="K231" s="195"/>
      <c r="L231" s="195"/>
      <c r="M231" s="194"/>
      <c r="N231" s="195"/>
    </row>
    <row r="232" spans="1:14" x14ac:dyDescent="0.2">
      <c r="A232" s="216"/>
      <c r="B232" s="199"/>
      <c r="C232" s="217"/>
      <c r="D232" s="217"/>
      <c r="E232" s="218"/>
      <c r="F232" s="218"/>
      <c r="G232" s="219"/>
      <c r="H232" s="219"/>
      <c r="I232" s="219"/>
      <c r="J232" s="195"/>
      <c r="K232" s="195"/>
      <c r="L232" s="195"/>
      <c r="M232" s="194"/>
      <c r="N232" s="195"/>
    </row>
    <row r="233" spans="1:14" x14ac:dyDescent="0.2">
      <c r="A233" s="216"/>
      <c r="B233" s="199"/>
      <c r="C233" s="217"/>
      <c r="D233" s="217"/>
      <c r="E233" s="218"/>
      <c r="F233" s="218"/>
      <c r="G233" s="219"/>
      <c r="H233" s="219"/>
      <c r="I233" s="219"/>
      <c r="J233" s="195"/>
      <c r="K233" s="195"/>
      <c r="L233" s="195"/>
      <c r="M233" s="194"/>
      <c r="N233" s="195"/>
    </row>
    <row r="234" spans="1:14" x14ac:dyDescent="0.2">
      <c r="A234" s="216"/>
      <c r="B234" s="199"/>
      <c r="C234" s="217"/>
      <c r="D234" s="217"/>
      <c r="E234" s="218"/>
      <c r="F234" s="218"/>
      <c r="G234" s="219"/>
      <c r="H234" s="219"/>
      <c r="I234" s="219"/>
      <c r="J234" s="195"/>
      <c r="K234" s="195"/>
      <c r="L234" s="195"/>
      <c r="M234" s="194"/>
      <c r="N234" s="195"/>
    </row>
    <row r="235" spans="1:14" x14ac:dyDescent="0.2">
      <c r="A235" s="216"/>
      <c r="B235" s="199"/>
      <c r="C235" s="217"/>
      <c r="D235" s="217"/>
      <c r="E235" s="218"/>
      <c r="F235" s="218"/>
      <c r="G235" s="219"/>
      <c r="H235" s="219"/>
      <c r="I235" s="219"/>
      <c r="J235" s="195"/>
      <c r="K235" s="195"/>
      <c r="L235" s="195"/>
      <c r="M235" s="194"/>
      <c r="N235" s="195"/>
    </row>
    <row r="236" spans="1:14" x14ac:dyDescent="0.2">
      <c r="A236" s="216"/>
      <c r="B236" s="199"/>
      <c r="C236" s="217"/>
      <c r="D236" s="217"/>
      <c r="E236" s="218"/>
      <c r="F236" s="218"/>
      <c r="G236" s="219"/>
      <c r="H236" s="219"/>
      <c r="I236" s="219"/>
      <c r="J236" s="195"/>
      <c r="K236" s="195"/>
      <c r="L236" s="195"/>
      <c r="M236" s="194"/>
      <c r="N236" s="195"/>
    </row>
    <row r="237" spans="1:14" x14ac:dyDescent="0.2">
      <c r="A237" s="216"/>
      <c r="B237" s="199"/>
      <c r="C237" s="217"/>
      <c r="D237" s="217"/>
      <c r="E237" s="218"/>
      <c r="F237" s="218"/>
      <c r="G237" s="219"/>
      <c r="H237" s="219"/>
      <c r="I237" s="219"/>
      <c r="J237" s="195"/>
      <c r="K237" s="195"/>
      <c r="L237" s="195"/>
      <c r="M237" s="194"/>
      <c r="N237" s="195"/>
    </row>
    <row r="238" spans="1:14" x14ac:dyDescent="0.2">
      <c r="A238" s="216"/>
      <c r="B238" s="199"/>
      <c r="C238" s="217"/>
      <c r="D238" s="217"/>
      <c r="E238" s="218"/>
      <c r="F238" s="218"/>
      <c r="G238" s="219"/>
      <c r="H238" s="219"/>
      <c r="I238" s="219"/>
      <c r="J238" s="195"/>
      <c r="K238" s="195"/>
      <c r="L238" s="195"/>
      <c r="M238" s="194"/>
      <c r="N238" s="195"/>
    </row>
    <row r="239" spans="1:14" x14ac:dyDescent="0.2">
      <c r="A239" s="216"/>
      <c r="B239" s="199"/>
      <c r="C239" s="217"/>
      <c r="D239" s="217"/>
      <c r="E239" s="218"/>
      <c r="F239" s="218"/>
      <c r="G239" s="219"/>
      <c r="H239" s="219"/>
      <c r="I239" s="219"/>
      <c r="J239" s="195"/>
      <c r="K239" s="195"/>
      <c r="L239" s="195"/>
      <c r="M239" s="194"/>
      <c r="N239" s="195"/>
    </row>
    <row r="240" spans="1:14" x14ac:dyDescent="0.2">
      <c r="A240" s="216"/>
      <c r="B240" s="199"/>
      <c r="C240" s="217"/>
      <c r="D240" s="217"/>
      <c r="E240" s="218"/>
      <c r="F240" s="218"/>
      <c r="G240" s="219"/>
      <c r="H240" s="219"/>
      <c r="I240" s="219"/>
      <c r="J240" s="195"/>
      <c r="K240" s="195"/>
      <c r="L240" s="195"/>
      <c r="M240" s="194"/>
      <c r="N240" s="195"/>
    </row>
    <row r="241" spans="1:14" x14ac:dyDescent="0.2">
      <c r="A241" s="216"/>
      <c r="B241" s="199"/>
      <c r="C241" s="217"/>
      <c r="D241" s="217"/>
      <c r="E241" s="218"/>
      <c r="F241" s="218"/>
      <c r="G241" s="219"/>
      <c r="H241" s="219"/>
      <c r="I241" s="219"/>
      <c r="J241" s="195"/>
      <c r="K241" s="195"/>
      <c r="L241" s="195"/>
      <c r="M241" s="194"/>
      <c r="N241" s="195"/>
    </row>
    <row r="242" spans="1:14" x14ac:dyDescent="0.2">
      <c r="A242" s="216"/>
      <c r="B242" s="199"/>
      <c r="C242" s="217"/>
      <c r="D242" s="217"/>
      <c r="E242" s="218"/>
      <c r="F242" s="218"/>
      <c r="G242" s="219"/>
      <c r="H242" s="219"/>
      <c r="I242" s="219"/>
      <c r="J242" s="195"/>
      <c r="K242" s="195"/>
      <c r="L242" s="195"/>
      <c r="M242" s="194"/>
      <c r="N242" s="195"/>
    </row>
    <row r="243" spans="1:14" x14ac:dyDescent="0.2">
      <c r="A243" s="216"/>
      <c r="B243" s="199"/>
      <c r="C243" s="217"/>
      <c r="D243" s="217"/>
      <c r="E243" s="218"/>
      <c r="F243" s="218"/>
      <c r="G243" s="219"/>
      <c r="H243" s="219"/>
      <c r="I243" s="219"/>
      <c r="J243" s="195"/>
      <c r="K243" s="195"/>
      <c r="L243" s="195"/>
      <c r="M243" s="194"/>
      <c r="N243" s="195"/>
    </row>
    <row r="244" spans="1:14" x14ac:dyDescent="0.2">
      <c r="A244" s="216"/>
      <c r="B244" s="199"/>
      <c r="C244" s="217"/>
      <c r="D244" s="217"/>
      <c r="E244" s="218"/>
      <c r="F244" s="218"/>
      <c r="G244" s="219"/>
      <c r="H244" s="219"/>
      <c r="I244" s="219"/>
      <c r="J244" s="195"/>
      <c r="K244" s="195"/>
      <c r="L244" s="195"/>
      <c r="M244" s="194"/>
      <c r="N244" s="195"/>
    </row>
    <row r="245" spans="1:14" x14ac:dyDescent="0.2">
      <c r="A245" s="216"/>
      <c r="B245" s="199"/>
      <c r="C245" s="217"/>
      <c r="D245" s="217"/>
      <c r="E245" s="218"/>
      <c r="F245" s="218"/>
      <c r="G245" s="219"/>
      <c r="H245" s="219"/>
      <c r="I245" s="219"/>
      <c r="J245" s="195"/>
      <c r="K245" s="195"/>
      <c r="L245" s="195"/>
      <c r="M245" s="194"/>
      <c r="N245" s="195"/>
    </row>
    <row r="246" spans="1:14" x14ac:dyDescent="0.2">
      <c r="A246" s="216"/>
      <c r="B246" s="199"/>
      <c r="C246" s="217"/>
      <c r="D246" s="217"/>
      <c r="E246" s="218"/>
      <c r="F246" s="218"/>
      <c r="G246" s="219"/>
      <c r="H246" s="219"/>
      <c r="I246" s="219"/>
      <c r="J246" s="195"/>
      <c r="K246" s="195"/>
      <c r="L246" s="195"/>
      <c r="M246" s="194"/>
      <c r="N246" s="195"/>
    </row>
    <row r="247" spans="1:14" x14ac:dyDescent="0.2">
      <c r="A247" s="216"/>
      <c r="B247" s="199"/>
      <c r="C247" s="217"/>
      <c r="D247" s="217"/>
      <c r="E247" s="218"/>
      <c r="F247" s="218"/>
      <c r="G247" s="219"/>
      <c r="H247" s="219"/>
      <c r="I247" s="219"/>
      <c r="J247" s="195"/>
      <c r="K247" s="195"/>
      <c r="L247" s="195"/>
      <c r="M247" s="194"/>
      <c r="N247" s="195"/>
    </row>
    <row r="248" spans="1:14" x14ac:dyDescent="0.2">
      <c r="A248" s="216"/>
      <c r="B248" s="199"/>
      <c r="C248" s="217"/>
      <c r="D248" s="217"/>
      <c r="E248" s="218"/>
      <c r="F248" s="218"/>
      <c r="G248" s="219"/>
      <c r="H248" s="219"/>
      <c r="I248" s="219"/>
      <c r="J248" s="195"/>
      <c r="K248" s="195"/>
      <c r="L248" s="195"/>
      <c r="M248" s="194"/>
      <c r="N248" s="195"/>
    </row>
    <row r="249" spans="1:14" x14ac:dyDescent="0.2">
      <c r="A249" s="216"/>
      <c r="B249" s="199"/>
      <c r="C249" s="217"/>
      <c r="D249" s="217"/>
      <c r="E249" s="218"/>
      <c r="F249" s="218"/>
      <c r="G249" s="219"/>
      <c r="H249" s="219"/>
      <c r="I249" s="219"/>
      <c r="J249" s="195"/>
      <c r="K249" s="195"/>
      <c r="L249" s="195"/>
      <c r="M249" s="194"/>
      <c r="N249" s="195"/>
    </row>
    <row r="250" spans="1:14" x14ac:dyDescent="0.2">
      <c r="A250" s="216"/>
      <c r="B250" s="199"/>
      <c r="C250" s="217"/>
      <c r="D250" s="217"/>
      <c r="E250" s="218"/>
      <c r="F250" s="218"/>
      <c r="G250" s="219"/>
      <c r="H250" s="219"/>
      <c r="I250" s="219"/>
      <c r="J250" s="195"/>
      <c r="K250" s="195"/>
      <c r="L250" s="195"/>
      <c r="M250" s="194"/>
      <c r="N250" s="195"/>
    </row>
    <row r="251" spans="1:14" x14ac:dyDescent="0.2">
      <c r="A251" s="216"/>
      <c r="B251" s="199"/>
      <c r="C251" s="217"/>
      <c r="D251" s="217"/>
      <c r="E251" s="218"/>
      <c r="F251" s="218"/>
      <c r="G251" s="219"/>
      <c r="H251" s="219"/>
      <c r="I251" s="219"/>
      <c r="J251" s="195"/>
      <c r="K251" s="195"/>
      <c r="L251" s="195"/>
      <c r="M251" s="194"/>
      <c r="N251" s="195"/>
    </row>
    <row r="252" spans="1:14" x14ac:dyDescent="0.2">
      <c r="A252" s="216"/>
      <c r="B252" s="199"/>
      <c r="C252" s="217"/>
      <c r="D252" s="217"/>
      <c r="E252" s="218"/>
      <c r="F252" s="218"/>
      <c r="G252" s="219"/>
      <c r="H252" s="219"/>
      <c r="I252" s="219"/>
      <c r="J252" s="195"/>
      <c r="K252" s="195"/>
      <c r="L252" s="195"/>
      <c r="M252" s="194"/>
      <c r="N252" s="195"/>
    </row>
    <row r="253" spans="1:14" x14ac:dyDescent="0.2">
      <c r="A253" s="216"/>
      <c r="B253" s="199"/>
      <c r="C253" s="217"/>
      <c r="D253" s="217"/>
      <c r="E253" s="218"/>
      <c r="F253" s="218"/>
      <c r="G253" s="219"/>
      <c r="H253" s="219"/>
      <c r="I253" s="219"/>
      <c r="J253" s="195"/>
      <c r="K253" s="195"/>
      <c r="L253" s="195"/>
      <c r="M253" s="194"/>
      <c r="N253" s="195"/>
    </row>
    <row r="254" spans="1:14" x14ac:dyDescent="0.2">
      <c r="A254" s="216"/>
      <c r="B254" s="199"/>
      <c r="C254" s="217"/>
      <c r="D254" s="217"/>
      <c r="E254" s="218"/>
      <c r="F254" s="218"/>
      <c r="G254" s="219"/>
      <c r="H254" s="219"/>
      <c r="I254" s="219"/>
      <c r="J254" s="195"/>
      <c r="K254" s="195"/>
      <c r="L254" s="195"/>
      <c r="M254" s="194"/>
      <c r="N254" s="195"/>
    </row>
    <row r="255" spans="1:14" x14ac:dyDescent="0.2">
      <c r="A255" s="216"/>
      <c r="B255" s="199"/>
      <c r="C255" s="217"/>
      <c r="D255" s="217"/>
      <c r="E255" s="218"/>
      <c r="F255" s="218"/>
      <c r="G255" s="219"/>
      <c r="H255" s="219"/>
      <c r="I255" s="219"/>
      <c r="J255" s="195"/>
      <c r="K255" s="195"/>
      <c r="L255" s="195"/>
      <c r="M255" s="194"/>
      <c r="N255" s="195"/>
    </row>
    <row r="256" spans="1:14" x14ac:dyDescent="0.2">
      <c r="A256" s="216"/>
      <c r="B256" s="199"/>
      <c r="C256" s="217"/>
      <c r="D256" s="217"/>
      <c r="E256" s="218"/>
      <c r="F256" s="218"/>
      <c r="G256" s="219"/>
      <c r="H256" s="219"/>
      <c r="I256" s="219"/>
      <c r="J256" s="195"/>
      <c r="K256" s="195"/>
      <c r="L256" s="195"/>
      <c r="M256" s="194"/>
      <c r="N256" s="195"/>
    </row>
    <row r="257" spans="1:14" x14ac:dyDescent="0.2">
      <c r="A257" s="216"/>
      <c r="B257" s="199"/>
      <c r="C257" s="217"/>
      <c r="D257" s="217"/>
      <c r="E257" s="218"/>
      <c r="F257" s="218"/>
      <c r="G257" s="219"/>
      <c r="H257" s="219"/>
      <c r="I257" s="219"/>
      <c r="J257" s="195"/>
      <c r="K257" s="195"/>
      <c r="L257" s="195"/>
      <c r="M257" s="194"/>
      <c r="N257" s="195"/>
    </row>
    <row r="258" spans="1:14" x14ac:dyDescent="0.2">
      <c r="A258" s="216"/>
      <c r="B258" s="199"/>
      <c r="C258" s="217"/>
      <c r="D258" s="217"/>
      <c r="E258" s="218"/>
      <c r="F258" s="218"/>
      <c r="G258" s="219"/>
      <c r="H258" s="219"/>
      <c r="I258" s="219"/>
      <c r="J258" s="195"/>
      <c r="K258" s="195"/>
      <c r="L258" s="195"/>
      <c r="M258" s="194"/>
      <c r="N258" s="195"/>
    </row>
    <row r="259" spans="1:14" x14ac:dyDescent="0.2">
      <c r="A259" s="216"/>
      <c r="B259" s="199"/>
      <c r="C259" s="217"/>
      <c r="D259" s="217"/>
      <c r="E259" s="218"/>
      <c r="F259" s="218"/>
      <c r="G259" s="219"/>
      <c r="H259" s="219"/>
      <c r="I259" s="219"/>
      <c r="J259" s="195"/>
      <c r="K259" s="195"/>
      <c r="L259" s="195"/>
      <c r="M259" s="194"/>
      <c r="N259" s="195"/>
    </row>
    <row r="260" spans="1:14" x14ac:dyDescent="0.2">
      <c r="A260" s="216"/>
      <c r="B260" s="199"/>
      <c r="C260" s="217"/>
      <c r="D260" s="217"/>
      <c r="E260" s="218"/>
      <c r="F260" s="218"/>
      <c r="G260" s="219"/>
      <c r="H260" s="219"/>
      <c r="I260" s="219"/>
      <c r="J260" s="195"/>
      <c r="K260" s="195"/>
      <c r="L260" s="195"/>
      <c r="M260" s="194"/>
      <c r="N260" s="195"/>
    </row>
    <row r="261" spans="1:14" x14ac:dyDescent="0.2">
      <c r="A261" s="216"/>
      <c r="B261" s="199"/>
      <c r="C261" s="217"/>
      <c r="D261" s="217"/>
      <c r="E261" s="218"/>
      <c r="F261" s="218"/>
      <c r="G261" s="219"/>
      <c r="H261" s="219"/>
      <c r="I261" s="219"/>
      <c r="J261" s="195"/>
      <c r="K261" s="195"/>
      <c r="L261" s="195"/>
      <c r="M261" s="194"/>
      <c r="N261" s="195"/>
    </row>
    <row r="262" spans="1:14" x14ac:dyDescent="0.2">
      <c r="A262" s="216"/>
      <c r="B262" s="199"/>
      <c r="C262" s="217"/>
      <c r="D262" s="217"/>
      <c r="E262" s="218"/>
      <c r="F262" s="218"/>
      <c r="G262" s="219"/>
      <c r="H262" s="219"/>
      <c r="I262" s="219"/>
      <c r="J262" s="195"/>
      <c r="K262" s="195"/>
      <c r="L262" s="195"/>
      <c r="M262" s="194"/>
      <c r="N262" s="195"/>
    </row>
    <row r="263" spans="1:14" x14ac:dyDescent="0.2">
      <c r="A263" s="216"/>
      <c r="B263" s="199"/>
      <c r="C263" s="217"/>
      <c r="D263" s="217"/>
      <c r="E263" s="218"/>
      <c r="F263" s="218"/>
      <c r="G263" s="219"/>
      <c r="H263" s="219"/>
      <c r="I263" s="219"/>
      <c r="J263" s="195"/>
      <c r="K263" s="195"/>
      <c r="L263" s="195"/>
      <c r="M263" s="194"/>
      <c r="N263" s="195"/>
    </row>
    <row r="264" spans="1:14" x14ac:dyDescent="0.2">
      <c r="A264" s="216"/>
      <c r="B264" s="199"/>
      <c r="C264" s="217"/>
      <c r="D264" s="217"/>
      <c r="E264" s="218"/>
      <c r="F264" s="218"/>
      <c r="G264" s="219"/>
      <c r="H264" s="219"/>
      <c r="I264" s="219"/>
      <c r="J264" s="195"/>
      <c r="K264" s="195"/>
      <c r="L264" s="195"/>
      <c r="M264" s="194"/>
      <c r="N264" s="195"/>
    </row>
    <row r="265" spans="1:14" x14ac:dyDescent="0.2">
      <c r="A265" s="216"/>
      <c r="B265" s="199"/>
      <c r="C265" s="217"/>
      <c r="D265" s="217"/>
      <c r="E265" s="218"/>
      <c r="F265" s="218"/>
      <c r="G265" s="219"/>
      <c r="H265" s="219"/>
      <c r="I265" s="219"/>
      <c r="J265" s="195"/>
      <c r="K265" s="195"/>
      <c r="L265" s="195"/>
      <c r="M265" s="194"/>
      <c r="N265" s="195"/>
    </row>
    <row r="266" spans="1:14" x14ac:dyDescent="0.2">
      <c r="A266" s="216"/>
      <c r="B266" s="199"/>
      <c r="C266" s="217"/>
      <c r="D266" s="217"/>
      <c r="E266" s="218"/>
      <c r="F266" s="218"/>
      <c r="G266" s="219"/>
      <c r="H266" s="219"/>
      <c r="I266" s="219"/>
      <c r="J266" s="195"/>
      <c r="K266" s="195"/>
      <c r="L266" s="195"/>
      <c r="M266" s="194"/>
      <c r="N266" s="195"/>
    </row>
    <row r="267" spans="1:14" x14ac:dyDescent="0.2">
      <c r="A267" s="216"/>
      <c r="B267" s="199"/>
      <c r="C267" s="217"/>
      <c r="D267" s="217"/>
      <c r="E267" s="218"/>
      <c r="F267" s="218"/>
      <c r="G267" s="219"/>
      <c r="H267" s="219"/>
      <c r="I267" s="219"/>
      <c r="J267" s="195"/>
      <c r="K267" s="195"/>
      <c r="L267" s="195"/>
      <c r="M267" s="194"/>
      <c r="N267" s="195"/>
    </row>
    <row r="268" spans="1:14" x14ac:dyDescent="0.2">
      <c r="A268" s="216"/>
      <c r="B268" s="199"/>
      <c r="C268" s="217"/>
      <c r="D268" s="217"/>
      <c r="E268" s="218"/>
      <c r="F268" s="218"/>
      <c r="G268" s="219"/>
      <c r="H268" s="219"/>
      <c r="I268" s="219"/>
      <c r="J268" s="195"/>
      <c r="K268" s="195"/>
      <c r="L268" s="195"/>
      <c r="M268" s="194"/>
      <c r="N268" s="195"/>
    </row>
    <row r="269" spans="1:14" x14ac:dyDescent="0.2">
      <c r="A269" s="216"/>
      <c r="B269" s="199"/>
      <c r="C269" s="217"/>
      <c r="D269" s="217"/>
      <c r="E269" s="218"/>
      <c r="F269" s="218"/>
      <c r="G269" s="219"/>
      <c r="H269" s="219"/>
      <c r="I269" s="219"/>
      <c r="J269" s="195"/>
      <c r="K269" s="195"/>
      <c r="L269" s="195"/>
      <c r="M269" s="194"/>
      <c r="N269" s="195"/>
    </row>
    <row r="270" spans="1:14" x14ac:dyDescent="0.2">
      <c r="A270" s="216"/>
      <c r="B270" s="199"/>
      <c r="C270" s="217"/>
      <c r="D270" s="217"/>
      <c r="E270" s="218"/>
      <c r="F270" s="218"/>
      <c r="G270" s="219"/>
      <c r="H270" s="219"/>
      <c r="I270" s="219"/>
      <c r="J270" s="195"/>
      <c r="K270" s="195"/>
      <c r="L270" s="195"/>
      <c r="M270" s="194"/>
      <c r="N270" s="195"/>
    </row>
    <row r="271" spans="1:14" x14ac:dyDescent="0.2">
      <c r="A271" s="216"/>
      <c r="B271" s="199"/>
      <c r="C271" s="217"/>
      <c r="D271" s="217"/>
      <c r="E271" s="218"/>
      <c r="F271" s="218"/>
      <c r="G271" s="219"/>
      <c r="H271" s="219"/>
      <c r="I271" s="219"/>
      <c r="J271" s="195"/>
      <c r="K271" s="195"/>
      <c r="L271" s="195"/>
      <c r="M271" s="194"/>
      <c r="N271" s="195"/>
    </row>
    <row r="272" spans="1:14" x14ac:dyDescent="0.2">
      <c r="A272" s="216"/>
      <c r="B272" s="199"/>
      <c r="C272" s="217"/>
      <c r="D272" s="217"/>
      <c r="E272" s="218"/>
      <c r="F272" s="218"/>
      <c r="G272" s="219"/>
      <c r="H272" s="219"/>
      <c r="I272" s="219"/>
      <c r="J272" s="195"/>
      <c r="K272" s="195"/>
      <c r="L272" s="195"/>
      <c r="M272" s="194"/>
      <c r="N272" s="195"/>
    </row>
    <row r="273" spans="1:14" x14ac:dyDescent="0.2">
      <c r="A273" s="216"/>
      <c r="B273" s="199"/>
      <c r="C273" s="217"/>
      <c r="D273" s="217"/>
      <c r="E273" s="218"/>
      <c r="F273" s="218"/>
      <c r="G273" s="219"/>
      <c r="H273" s="219"/>
      <c r="I273" s="219"/>
      <c r="J273" s="195"/>
      <c r="K273" s="195"/>
      <c r="L273" s="195"/>
      <c r="M273" s="194"/>
      <c r="N273" s="195"/>
    </row>
    <row r="274" spans="1:14" x14ac:dyDescent="0.2">
      <c r="A274" s="216"/>
      <c r="B274" s="199"/>
      <c r="C274" s="217"/>
      <c r="D274" s="217"/>
      <c r="E274" s="218"/>
      <c r="F274" s="218"/>
      <c r="G274" s="219"/>
      <c r="H274" s="219"/>
      <c r="I274" s="219"/>
      <c r="J274" s="195"/>
      <c r="K274" s="195"/>
      <c r="L274" s="195"/>
      <c r="M274" s="194"/>
      <c r="N274" s="195"/>
    </row>
    <row r="275" spans="1:14" x14ac:dyDescent="0.2">
      <c r="A275" s="216"/>
      <c r="B275" s="199"/>
      <c r="C275" s="217"/>
      <c r="D275" s="217"/>
      <c r="E275" s="218"/>
      <c r="F275" s="218"/>
      <c r="G275" s="219"/>
      <c r="H275" s="219"/>
      <c r="I275" s="219"/>
      <c r="J275" s="195"/>
      <c r="K275" s="195"/>
      <c r="L275" s="195"/>
      <c r="M275" s="194"/>
      <c r="N275" s="195"/>
    </row>
    <row r="276" spans="1:14" x14ac:dyDescent="0.2">
      <c r="A276" s="216"/>
      <c r="B276" s="199"/>
      <c r="C276" s="217"/>
      <c r="D276" s="217"/>
      <c r="E276" s="218"/>
      <c r="F276" s="218"/>
      <c r="G276" s="219"/>
      <c r="H276" s="219"/>
      <c r="I276" s="219"/>
      <c r="J276" s="195"/>
      <c r="K276" s="195"/>
      <c r="L276" s="195"/>
      <c r="M276" s="194"/>
      <c r="N276" s="195"/>
    </row>
    <row r="277" spans="1:14" x14ac:dyDescent="0.2">
      <c r="A277" s="216"/>
      <c r="B277" s="199"/>
      <c r="C277" s="217"/>
      <c r="D277" s="217"/>
      <c r="E277" s="218"/>
      <c r="F277" s="218"/>
      <c r="G277" s="219"/>
      <c r="H277" s="219"/>
      <c r="I277" s="219"/>
      <c r="J277" s="195"/>
      <c r="K277" s="195"/>
      <c r="L277" s="195"/>
      <c r="M277" s="194"/>
      <c r="N277" s="195"/>
    </row>
    <row r="278" spans="1:14" x14ac:dyDescent="0.2">
      <c r="A278" s="216"/>
      <c r="B278" s="199"/>
      <c r="C278" s="217"/>
      <c r="D278" s="217"/>
      <c r="E278" s="218"/>
      <c r="F278" s="218"/>
      <c r="G278" s="219"/>
      <c r="H278" s="219"/>
      <c r="I278" s="219"/>
      <c r="J278" s="195"/>
      <c r="K278" s="195"/>
      <c r="L278" s="195"/>
      <c r="M278" s="194"/>
      <c r="N278" s="195"/>
    </row>
    <row r="279" spans="1:14" x14ac:dyDescent="0.2">
      <c r="A279" s="216"/>
      <c r="B279" s="199"/>
      <c r="C279" s="217"/>
      <c r="D279" s="217"/>
      <c r="E279" s="218"/>
      <c r="F279" s="218"/>
      <c r="G279" s="219"/>
      <c r="H279" s="219"/>
      <c r="I279" s="219"/>
      <c r="J279" s="195"/>
      <c r="K279" s="195"/>
      <c r="L279" s="195"/>
      <c r="M279" s="194"/>
      <c r="N279" s="195"/>
    </row>
    <row r="280" spans="1:14" x14ac:dyDescent="0.2">
      <c r="A280" s="216"/>
      <c r="B280" s="199"/>
      <c r="C280" s="217"/>
      <c r="D280" s="217"/>
      <c r="E280" s="218"/>
      <c r="F280" s="218"/>
      <c r="G280" s="219"/>
      <c r="H280" s="219"/>
      <c r="I280" s="219"/>
      <c r="J280" s="195"/>
      <c r="K280" s="195"/>
      <c r="L280" s="195"/>
      <c r="M280" s="194"/>
      <c r="N280" s="195"/>
    </row>
    <row r="281" spans="1:14" x14ac:dyDescent="0.2">
      <c r="A281" s="216"/>
      <c r="B281" s="199"/>
      <c r="C281" s="217"/>
      <c r="D281" s="217"/>
      <c r="E281" s="218"/>
      <c r="F281" s="218"/>
      <c r="G281" s="219"/>
      <c r="H281" s="219"/>
      <c r="I281" s="219"/>
      <c r="J281" s="195"/>
      <c r="K281" s="195"/>
      <c r="L281" s="195"/>
      <c r="M281" s="194"/>
      <c r="N281" s="195"/>
    </row>
    <row r="282" spans="1:14" x14ac:dyDescent="0.2">
      <c r="A282" s="216"/>
      <c r="B282" s="199"/>
      <c r="C282" s="217"/>
      <c r="D282" s="217"/>
      <c r="E282" s="218"/>
      <c r="F282" s="218"/>
      <c r="G282" s="219"/>
      <c r="H282" s="219"/>
      <c r="I282" s="219"/>
      <c r="J282" s="195"/>
      <c r="K282" s="195"/>
      <c r="L282" s="195"/>
      <c r="M282" s="194"/>
      <c r="N282" s="195"/>
    </row>
    <row r="283" spans="1:14" x14ac:dyDescent="0.2">
      <c r="A283" s="216"/>
      <c r="B283" s="199"/>
      <c r="C283" s="217"/>
      <c r="D283" s="217"/>
      <c r="E283" s="218"/>
      <c r="F283" s="218"/>
      <c r="G283" s="219"/>
      <c r="H283" s="219"/>
      <c r="I283" s="219"/>
      <c r="J283" s="195"/>
      <c r="K283" s="195"/>
      <c r="L283" s="195"/>
      <c r="M283" s="194"/>
      <c r="N283" s="195"/>
    </row>
    <row r="284" spans="1:14" x14ac:dyDescent="0.2">
      <c r="A284" s="216"/>
      <c r="B284" s="199"/>
      <c r="C284" s="217"/>
      <c r="D284" s="217"/>
      <c r="E284" s="218"/>
      <c r="F284" s="218"/>
      <c r="G284" s="219"/>
      <c r="H284" s="219"/>
      <c r="I284" s="219"/>
      <c r="J284" s="195"/>
      <c r="K284" s="195"/>
      <c r="L284" s="195"/>
      <c r="M284" s="194"/>
      <c r="N284" s="195"/>
    </row>
    <row r="285" spans="1:14" x14ac:dyDescent="0.2">
      <c r="A285" s="216"/>
      <c r="B285" s="199"/>
      <c r="C285" s="217"/>
      <c r="D285" s="217"/>
      <c r="E285" s="218"/>
      <c r="F285" s="218"/>
      <c r="G285" s="219"/>
      <c r="H285" s="219"/>
      <c r="I285" s="219"/>
      <c r="J285" s="195"/>
      <c r="K285" s="195"/>
      <c r="L285" s="195"/>
      <c r="M285" s="194"/>
      <c r="N285" s="195"/>
    </row>
    <row r="286" spans="1:14" x14ac:dyDescent="0.2">
      <c r="A286" s="216"/>
      <c r="B286" s="199"/>
      <c r="C286" s="217"/>
      <c r="D286" s="217"/>
      <c r="E286" s="218"/>
      <c r="F286" s="218"/>
      <c r="G286" s="219"/>
      <c r="H286" s="219"/>
      <c r="I286" s="219"/>
      <c r="J286" s="195"/>
      <c r="K286" s="195"/>
      <c r="L286" s="195"/>
      <c r="M286" s="194"/>
      <c r="N286" s="195"/>
    </row>
    <row r="287" spans="1:14" x14ac:dyDescent="0.2">
      <c r="A287" s="216"/>
      <c r="B287" s="199"/>
      <c r="C287" s="217"/>
      <c r="D287" s="217"/>
      <c r="E287" s="218"/>
      <c r="F287" s="218"/>
      <c r="G287" s="219"/>
      <c r="H287" s="219"/>
      <c r="I287" s="219"/>
      <c r="J287" s="195"/>
      <c r="K287" s="195"/>
      <c r="L287" s="195"/>
      <c r="M287" s="194"/>
      <c r="N287" s="195"/>
    </row>
    <row r="288" spans="1:14" x14ac:dyDescent="0.2">
      <c r="A288" s="216"/>
      <c r="B288" s="199"/>
      <c r="C288" s="217"/>
      <c r="D288" s="217"/>
      <c r="E288" s="218"/>
      <c r="F288" s="218"/>
      <c r="G288" s="219"/>
      <c r="H288" s="219"/>
      <c r="I288" s="219"/>
      <c r="J288" s="195"/>
      <c r="K288" s="195"/>
      <c r="L288" s="195"/>
      <c r="M288" s="194"/>
      <c r="N288" s="195"/>
    </row>
    <row r="289" spans="1:14" x14ac:dyDescent="0.2">
      <c r="A289" s="216"/>
      <c r="B289" s="199"/>
      <c r="C289" s="217"/>
      <c r="D289" s="217"/>
      <c r="E289" s="218"/>
      <c r="F289" s="218"/>
      <c r="G289" s="219"/>
      <c r="H289" s="219"/>
      <c r="I289" s="219"/>
      <c r="J289" s="195"/>
      <c r="K289" s="195"/>
      <c r="L289" s="195"/>
      <c r="M289" s="194"/>
      <c r="N289" s="195"/>
    </row>
    <row r="290" spans="1:14" x14ac:dyDescent="0.2">
      <c r="A290" s="216"/>
      <c r="B290" s="199"/>
      <c r="C290" s="217"/>
      <c r="D290" s="217"/>
      <c r="E290" s="218"/>
      <c r="F290" s="218"/>
      <c r="G290" s="219"/>
      <c r="H290" s="219"/>
      <c r="I290" s="219"/>
      <c r="J290" s="195"/>
      <c r="K290" s="195"/>
      <c r="L290" s="195"/>
      <c r="M290" s="194"/>
      <c r="N290" s="195"/>
    </row>
    <row r="291" spans="1:14" x14ac:dyDescent="0.2">
      <c r="A291" s="216"/>
      <c r="B291" s="199"/>
      <c r="C291" s="217"/>
      <c r="D291" s="217"/>
      <c r="E291" s="218"/>
      <c r="F291" s="218"/>
      <c r="G291" s="219"/>
      <c r="H291" s="219"/>
      <c r="I291" s="219"/>
      <c r="J291" s="195"/>
      <c r="K291" s="195"/>
      <c r="L291" s="195"/>
      <c r="M291" s="194"/>
      <c r="N291" s="195"/>
    </row>
    <row r="292" spans="1:14" x14ac:dyDescent="0.2">
      <c r="A292" s="216"/>
      <c r="B292" s="199"/>
      <c r="C292" s="217"/>
      <c r="D292" s="217"/>
      <c r="E292" s="218"/>
      <c r="F292" s="218"/>
      <c r="G292" s="219"/>
      <c r="H292" s="219"/>
      <c r="I292" s="219"/>
      <c r="J292" s="195"/>
      <c r="K292" s="195"/>
      <c r="L292" s="195"/>
      <c r="M292" s="194"/>
      <c r="N292" s="195"/>
    </row>
    <row r="293" spans="1:14" x14ac:dyDescent="0.2">
      <c r="A293" s="216"/>
      <c r="B293" s="199"/>
      <c r="C293" s="217"/>
      <c r="D293" s="217"/>
      <c r="E293" s="218"/>
      <c r="F293" s="218"/>
      <c r="G293" s="219"/>
      <c r="H293" s="219"/>
      <c r="I293" s="219"/>
      <c r="J293" s="195"/>
      <c r="K293" s="195"/>
      <c r="L293" s="195"/>
      <c r="M293" s="194"/>
      <c r="N293" s="195"/>
    </row>
    <row r="294" spans="1:14" x14ac:dyDescent="0.2">
      <c r="A294" s="216"/>
      <c r="B294" s="199"/>
      <c r="C294" s="217"/>
      <c r="D294" s="217"/>
      <c r="E294" s="218"/>
      <c r="F294" s="218"/>
      <c r="G294" s="219"/>
      <c r="H294" s="219"/>
      <c r="I294" s="219"/>
      <c r="J294" s="195"/>
      <c r="K294" s="195"/>
      <c r="L294" s="195"/>
      <c r="M294" s="194"/>
      <c r="N294" s="195"/>
    </row>
    <row r="295" spans="1:14" x14ac:dyDescent="0.2">
      <c r="A295" s="216"/>
      <c r="B295" s="199"/>
      <c r="C295" s="217"/>
      <c r="D295" s="217"/>
      <c r="E295" s="218"/>
      <c r="F295" s="218"/>
      <c r="G295" s="219"/>
      <c r="H295" s="219"/>
      <c r="I295" s="219"/>
      <c r="J295" s="195"/>
      <c r="K295" s="195"/>
      <c r="L295" s="195"/>
      <c r="M295" s="194"/>
      <c r="N295" s="195"/>
    </row>
    <row r="296" spans="1:14" x14ac:dyDescent="0.2">
      <c r="A296" s="216"/>
      <c r="B296" s="199"/>
      <c r="C296" s="217"/>
      <c r="D296" s="217"/>
      <c r="E296" s="218"/>
      <c r="F296" s="218"/>
      <c r="G296" s="219"/>
      <c r="H296" s="219"/>
      <c r="I296" s="219"/>
      <c r="J296" s="195"/>
      <c r="K296" s="195"/>
      <c r="L296" s="195"/>
      <c r="M296" s="194"/>
      <c r="N296" s="195"/>
    </row>
    <row r="297" spans="1:14" x14ac:dyDescent="0.2">
      <c r="A297" s="216"/>
      <c r="B297" s="199"/>
      <c r="C297" s="217"/>
      <c r="D297" s="217"/>
      <c r="E297" s="218"/>
      <c r="F297" s="218"/>
      <c r="G297" s="219"/>
      <c r="H297" s="219"/>
      <c r="I297" s="219"/>
      <c r="J297" s="195"/>
      <c r="K297" s="195"/>
      <c r="L297" s="195"/>
      <c r="M297" s="194"/>
      <c r="N297" s="195"/>
    </row>
    <row r="298" spans="1:14" x14ac:dyDescent="0.2">
      <c r="A298" s="216"/>
      <c r="B298" s="199"/>
      <c r="C298" s="217"/>
      <c r="D298" s="217"/>
      <c r="E298" s="218"/>
      <c r="F298" s="218"/>
      <c r="G298" s="219"/>
      <c r="H298" s="219"/>
      <c r="I298" s="219"/>
      <c r="J298" s="195"/>
      <c r="K298" s="195"/>
      <c r="L298" s="195"/>
      <c r="M298" s="194"/>
      <c r="N298" s="195"/>
    </row>
    <row r="299" spans="1:14" x14ac:dyDescent="0.2">
      <c r="A299" s="216"/>
      <c r="B299" s="199"/>
      <c r="C299" s="217"/>
      <c r="D299" s="217"/>
      <c r="E299" s="218"/>
      <c r="F299" s="218"/>
      <c r="G299" s="219"/>
      <c r="H299" s="219"/>
      <c r="I299" s="219"/>
      <c r="J299" s="195"/>
      <c r="K299" s="195"/>
      <c r="L299" s="195"/>
      <c r="M299" s="194"/>
      <c r="N299" s="195"/>
    </row>
    <row r="300" spans="1:14" x14ac:dyDescent="0.2">
      <c r="A300" s="216"/>
      <c r="B300" s="199"/>
      <c r="C300" s="217"/>
      <c r="D300" s="217"/>
      <c r="E300" s="218"/>
      <c r="F300" s="218"/>
      <c r="G300" s="219"/>
      <c r="H300" s="219"/>
      <c r="I300" s="219"/>
      <c r="J300" s="195"/>
      <c r="K300" s="195"/>
      <c r="L300" s="195"/>
      <c r="M300" s="194"/>
      <c r="N300" s="195"/>
    </row>
    <row r="301" spans="1:14" x14ac:dyDescent="0.2">
      <c r="A301" s="216"/>
      <c r="B301" s="199"/>
      <c r="C301" s="217"/>
      <c r="D301" s="217"/>
      <c r="E301" s="218"/>
      <c r="F301" s="218"/>
      <c r="G301" s="219"/>
      <c r="H301" s="219"/>
      <c r="I301" s="219"/>
      <c r="J301" s="195"/>
      <c r="K301" s="195"/>
      <c r="L301" s="195"/>
      <c r="M301" s="194"/>
      <c r="N301" s="195"/>
    </row>
    <row r="302" spans="1:14" x14ac:dyDescent="0.2">
      <c r="A302" s="216"/>
      <c r="B302" s="199"/>
      <c r="C302" s="217"/>
      <c r="D302" s="217"/>
      <c r="E302" s="218"/>
      <c r="F302" s="218"/>
      <c r="G302" s="219"/>
      <c r="H302" s="219"/>
      <c r="I302" s="219"/>
      <c r="J302" s="195"/>
      <c r="K302" s="195"/>
      <c r="L302" s="195"/>
      <c r="M302" s="194"/>
      <c r="N302" s="195"/>
    </row>
    <row r="303" spans="1:14" x14ac:dyDescent="0.2">
      <c r="A303" s="216"/>
      <c r="B303" s="199"/>
      <c r="C303" s="217"/>
      <c r="D303" s="217"/>
      <c r="E303" s="218"/>
      <c r="F303" s="218"/>
      <c r="G303" s="219"/>
      <c r="H303" s="219"/>
      <c r="I303" s="219"/>
      <c r="J303" s="195"/>
      <c r="K303" s="195"/>
      <c r="L303" s="195"/>
      <c r="M303" s="194"/>
      <c r="N303" s="195"/>
    </row>
    <row r="304" spans="1:14" x14ac:dyDescent="0.2">
      <c r="A304" s="216"/>
      <c r="B304" s="199"/>
      <c r="C304" s="217"/>
      <c r="D304" s="217"/>
      <c r="E304" s="218"/>
      <c r="F304" s="218"/>
      <c r="G304" s="219"/>
      <c r="H304" s="219"/>
      <c r="I304" s="219"/>
      <c r="J304" s="195"/>
      <c r="K304" s="195"/>
      <c r="L304" s="195"/>
      <c r="M304" s="194"/>
      <c r="N304" s="195"/>
    </row>
    <row r="305" spans="1:14" x14ac:dyDescent="0.2">
      <c r="A305" s="216"/>
      <c r="B305" s="199"/>
      <c r="C305" s="217"/>
      <c r="D305" s="217"/>
      <c r="E305" s="218"/>
      <c r="F305" s="218"/>
      <c r="G305" s="219"/>
      <c r="H305" s="219"/>
      <c r="I305" s="219"/>
      <c r="J305" s="195"/>
      <c r="K305" s="195"/>
      <c r="L305" s="195"/>
      <c r="M305" s="194"/>
      <c r="N305" s="195"/>
    </row>
    <row r="306" spans="1:14" x14ac:dyDescent="0.2">
      <c r="A306" s="216"/>
      <c r="B306" s="199"/>
      <c r="C306" s="217"/>
      <c r="D306" s="217"/>
      <c r="E306" s="218"/>
      <c r="F306" s="218"/>
      <c r="G306" s="219"/>
      <c r="H306" s="219"/>
      <c r="I306" s="219"/>
      <c r="J306" s="195"/>
      <c r="K306" s="195"/>
      <c r="L306" s="195"/>
      <c r="M306" s="194"/>
      <c r="N306" s="195"/>
    </row>
    <row r="307" spans="1:14" x14ac:dyDescent="0.2">
      <c r="A307" s="216"/>
      <c r="B307" s="199"/>
      <c r="C307" s="217"/>
      <c r="D307" s="217"/>
      <c r="E307" s="218"/>
      <c r="F307" s="218"/>
      <c r="G307" s="219"/>
      <c r="H307" s="219"/>
      <c r="I307" s="219"/>
      <c r="J307" s="195"/>
      <c r="K307" s="195"/>
      <c r="L307" s="195"/>
      <c r="M307" s="194"/>
      <c r="N307" s="195"/>
    </row>
    <row r="308" spans="1:14" x14ac:dyDescent="0.2">
      <c r="A308" s="216"/>
      <c r="B308" s="199"/>
      <c r="C308" s="217"/>
      <c r="D308" s="217"/>
      <c r="E308" s="218"/>
      <c r="F308" s="218"/>
      <c r="G308" s="219"/>
      <c r="H308" s="219"/>
      <c r="I308" s="219"/>
      <c r="J308" s="195"/>
      <c r="K308" s="195"/>
      <c r="L308" s="195"/>
      <c r="M308" s="194"/>
      <c r="N308" s="195"/>
    </row>
    <row r="309" spans="1:14" x14ac:dyDescent="0.2">
      <c r="A309" s="216"/>
      <c r="B309" s="199"/>
      <c r="C309" s="217"/>
      <c r="D309" s="217"/>
      <c r="E309" s="218"/>
      <c r="F309" s="218"/>
      <c r="G309" s="219"/>
      <c r="H309" s="219"/>
      <c r="I309" s="219"/>
      <c r="J309" s="195"/>
      <c r="K309" s="195"/>
      <c r="L309" s="195"/>
      <c r="M309" s="194"/>
      <c r="N309" s="195"/>
    </row>
    <row r="310" spans="1:14" x14ac:dyDescent="0.2">
      <c r="A310" s="216"/>
      <c r="B310" s="199"/>
      <c r="C310" s="217"/>
      <c r="D310" s="217"/>
      <c r="E310" s="218"/>
      <c r="F310" s="218"/>
      <c r="G310" s="219"/>
      <c r="H310" s="219"/>
      <c r="I310" s="219"/>
      <c r="J310" s="195"/>
      <c r="K310" s="195"/>
      <c r="L310" s="195"/>
      <c r="M310" s="194"/>
      <c r="N310" s="195"/>
    </row>
    <row r="311" spans="1:14" x14ac:dyDescent="0.2">
      <c r="A311" s="216"/>
      <c r="B311" s="199"/>
      <c r="C311" s="217"/>
      <c r="D311" s="217"/>
      <c r="E311" s="218"/>
      <c r="F311" s="218"/>
      <c r="G311" s="219"/>
      <c r="H311" s="219"/>
      <c r="I311" s="219"/>
      <c r="J311" s="195"/>
      <c r="K311" s="195"/>
      <c r="L311" s="195"/>
      <c r="M311" s="194"/>
      <c r="N311" s="195"/>
    </row>
    <row r="312" spans="1:14" x14ac:dyDescent="0.2">
      <c r="A312" s="216"/>
      <c r="B312" s="199"/>
      <c r="C312" s="217"/>
      <c r="D312" s="217"/>
      <c r="E312" s="218"/>
      <c r="F312" s="218"/>
      <c r="G312" s="219"/>
      <c r="H312" s="219"/>
      <c r="I312" s="219"/>
      <c r="J312" s="195"/>
      <c r="K312" s="195"/>
      <c r="L312" s="195"/>
      <c r="M312" s="194"/>
      <c r="N312" s="195"/>
    </row>
    <row r="313" spans="1:14" x14ac:dyDescent="0.2">
      <c r="A313" s="216"/>
      <c r="B313" s="199"/>
      <c r="C313" s="217"/>
      <c r="D313" s="217"/>
      <c r="E313" s="218"/>
      <c r="F313" s="218"/>
      <c r="G313" s="219"/>
      <c r="H313" s="219"/>
      <c r="I313" s="219"/>
      <c r="J313" s="195"/>
      <c r="K313" s="195"/>
      <c r="L313" s="195"/>
      <c r="M313" s="194"/>
      <c r="N313" s="195"/>
    </row>
    <row r="314" spans="1:14" x14ac:dyDescent="0.2">
      <c r="A314" s="216"/>
      <c r="B314" s="199"/>
      <c r="C314" s="217"/>
      <c r="D314" s="217"/>
      <c r="E314" s="218"/>
      <c r="F314" s="218"/>
      <c r="G314" s="219"/>
      <c r="H314" s="219"/>
      <c r="I314" s="219"/>
      <c r="J314" s="195"/>
      <c r="K314" s="195"/>
      <c r="L314" s="195"/>
      <c r="M314" s="194"/>
      <c r="N314" s="195"/>
    </row>
    <row r="315" spans="1:14" x14ac:dyDescent="0.2">
      <c r="A315" s="216"/>
      <c r="B315" s="199"/>
      <c r="C315" s="217"/>
      <c r="D315" s="217"/>
      <c r="E315" s="218"/>
      <c r="F315" s="218"/>
      <c r="G315" s="219"/>
      <c r="H315" s="219"/>
      <c r="I315" s="219"/>
      <c r="J315" s="195"/>
      <c r="K315" s="195"/>
      <c r="L315" s="195"/>
      <c r="M315" s="194"/>
      <c r="N315" s="195"/>
    </row>
    <row r="316" spans="1:14" x14ac:dyDescent="0.2">
      <c r="A316" s="216"/>
      <c r="B316" s="199"/>
      <c r="C316" s="217"/>
      <c r="D316" s="217"/>
      <c r="E316" s="218"/>
      <c r="F316" s="218"/>
      <c r="G316" s="219"/>
      <c r="H316" s="219"/>
      <c r="I316" s="219"/>
      <c r="J316" s="195"/>
      <c r="K316" s="195"/>
      <c r="L316" s="195"/>
      <c r="M316" s="194"/>
      <c r="N316" s="195"/>
    </row>
    <row r="317" spans="1:14" x14ac:dyDescent="0.2">
      <c r="A317" s="216"/>
      <c r="B317" s="199"/>
      <c r="C317" s="217"/>
      <c r="D317" s="217"/>
      <c r="E317" s="218"/>
      <c r="F317" s="218"/>
      <c r="G317" s="219"/>
      <c r="H317" s="219"/>
      <c r="I317" s="219"/>
      <c r="J317" s="195"/>
      <c r="K317" s="195"/>
      <c r="L317" s="195"/>
      <c r="M317" s="194"/>
      <c r="N317" s="195"/>
    </row>
    <row r="318" spans="1:14" x14ac:dyDescent="0.2">
      <c r="A318" s="216"/>
      <c r="B318" s="199"/>
      <c r="C318" s="217"/>
      <c r="D318" s="217"/>
      <c r="E318" s="218"/>
      <c r="F318" s="218"/>
      <c r="G318" s="219"/>
      <c r="H318" s="219"/>
      <c r="I318" s="219"/>
      <c r="J318" s="195"/>
      <c r="K318" s="195"/>
      <c r="L318" s="195"/>
      <c r="M318" s="194"/>
      <c r="N318" s="195"/>
    </row>
    <row r="319" spans="1:14" x14ac:dyDescent="0.2">
      <c r="A319" s="216"/>
      <c r="B319" s="199"/>
      <c r="C319" s="217"/>
      <c r="D319" s="217"/>
      <c r="E319" s="218"/>
      <c r="F319" s="218"/>
      <c r="G319" s="219"/>
      <c r="H319" s="219"/>
      <c r="I319" s="219"/>
      <c r="J319" s="195"/>
      <c r="K319" s="195"/>
      <c r="L319" s="195"/>
      <c r="M319" s="194"/>
      <c r="N319" s="195"/>
    </row>
    <row r="320" spans="1:14" x14ac:dyDescent="0.2">
      <c r="A320" s="216"/>
      <c r="B320" s="199"/>
      <c r="C320" s="217"/>
      <c r="D320" s="217"/>
      <c r="E320" s="218"/>
      <c r="F320" s="218"/>
      <c r="G320" s="219"/>
      <c r="H320" s="219"/>
      <c r="I320" s="219"/>
      <c r="J320" s="195"/>
      <c r="K320" s="195"/>
      <c r="L320" s="195"/>
      <c r="M320" s="194"/>
      <c r="N320" s="195"/>
    </row>
    <row r="321" spans="1:14" x14ac:dyDescent="0.2">
      <c r="A321" s="216"/>
      <c r="B321" s="199"/>
      <c r="C321" s="217"/>
      <c r="D321" s="217"/>
      <c r="E321" s="218"/>
      <c r="F321" s="218"/>
      <c r="G321" s="219"/>
      <c r="H321" s="219"/>
      <c r="I321" s="219"/>
      <c r="J321" s="195"/>
      <c r="K321" s="195"/>
      <c r="L321" s="195"/>
      <c r="M321" s="194"/>
      <c r="N321" s="195"/>
    </row>
    <row r="322" spans="1:14" x14ac:dyDescent="0.2">
      <c r="A322" s="216"/>
      <c r="B322" s="199"/>
      <c r="C322" s="217"/>
      <c r="D322" s="217"/>
      <c r="E322" s="218"/>
      <c r="F322" s="218"/>
      <c r="G322" s="219"/>
      <c r="H322" s="219"/>
      <c r="I322" s="219"/>
      <c r="J322" s="195"/>
      <c r="K322" s="195"/>
      <c r="L322" s="195"/>
      <c r="M322" s="194"/>
      <c r="N322" s="195"/>
    </row>
    <row r="323" spans="1:14" x14ac:dyDescent="0.2">
      <c r="A323" s="216"/>
      <c r="B323" s="199"/>
      <c r="C323" s="217"/>
      <c r="D323" s="217"/>
      <c r="E323" s="218"/>
      <c r="F323" s="218"/>
      <c r="G323" s="219"/>
      <c r="H323" s="219"/>
      <c r="I323" s="219"/>
      <c r="J323" s="195"/>
      <c r="K323" s="195"/>
      <c r="L323" s="195"/>
      <c r="M323" s="194"/>
      <c r="N323" s="195"/>
    </row>
    <row r="324" spans="1:14" x14ac:dyDescent="0.2">
      <c r="A324" s="216"/>
      <c r="B324" s="199"/>
      <c r="C324" s="217"/>
      <c r="D324" s="217"/>
      <c r="E324" s="218"/>
      <c r="F324" s="218"/>
      <c r="G324" s="219"/>
      <c r="H324" s="219"/>
      <c r="I324" s="219"/>
      <c r="J324" s="195"/>
      <c r="K324" s="195"/>
      <c r="L324" s="195"/>
      <c r="M324" s="194"/>
      <c r="N324" s="195"/>
    </row>
    <row r="325" spans="1:14" x14ac:dyDescent="0.2">
      <c r="A325" s="216"/>
      <c r="B325" s="199"/>
      <c r="C325" s="217"/>
      <c r="D325" s="217"/>
      <c r="E325" s="218"/>
      <c r="F325" s="218"/>
      <c r="G325" s="219"/>
      <c r="H325" s="219"/>
      <c r="I325" s="219"/>
      <c r="J325" s="195"/>
      <c r="K325" s="195"/>
      <c r="L325" s="195"/>
      <c r="M325" s="194"/>
      <c r="N325" s="195"/>
    </row>
    <row r="326" spans="1:14" x14ac:dyDescent="0.2">
      <c r="A326" s="216"/>
      <c r="B326" s="199"/>
      <c r="C326" s="217"/>
      <c r="D326" s="217"/>
      <c r="E326" s="218"/>
      <c r="F326" s="218"/>
      <c r="G326" s="219"/>
      <c r="H326" s="219"/>
      <c r="I326" s="219"/>
      <c r="J326" s="195"/>
      <c r="K326" s="195"/>
      <c r="L326" s="195"/>
      <c r="M326" s="194"/>
      <c r="N326" s="195"/>
    </row>
    <row r="327" spans="1:14" x14ac:dyDescent="0.2">
      <c r="A327" s="216"/>
      <c r="B327" s="199"/>
      <c r="C327" s="217"/>
      <c r="D327" s="217"/>
      <c r="E327" s="218"/>
      <c r="F327" s="218"/>
      <c r="G327" s="219"/>
      <c r="H327" s="219"/>
      <c r="I327" s="219"/>
      <c r="J327" s="195"/>
      <c r="K327" s="195"/>
      <c r="L327" s="195"/>
      <c r="M327" s="194"/>
      <c r="N327" s="195"/>
    </row>
    <row r="328" spans="1:14" x14ac:dyDescent="0.2">
      <c r="A328" s="216"/>
      <c r="B328" s="199"/>
      <c r="C328" s="217"/>
      <c r="D328" s="217"/>
      <c r="E328" s="218"/>
      <c r="F328" s="218"/>
      <c r="G328" s="219"/>
      <c r="H328" s="219"/>
      <c r="I328" s="219"/>
      <c r="J328" s="195"/>
      <c r="K328" s="195"/>
      <c r="L328" s="195"/>
      <c r="M328" s="194"/>
      <c r="N328" s="195"/>
    </row>
    <row r="329" spans="1:14" x14ac:dyDescent="0.2">
      <c r="A329" s="216"/>
      <c r="B329" s="199"/>
      <c r="C329" s="217"/>
      <c r="D329" s="217"/>
      <c r="E329" s="218"/>
      <c r="F329" s="218"/>
      <c r="G329" s="219"/>
      <c r="H329" s="219"/>
      <c r="I329" s="219"/>
      <c r="J329" s="195"/>
      <c r="K329" s="195"/>
      <c r="L329" s="195"/>
      <c r="M329" s="194"/>
      <c r="N329" s="195"/>
    </row>
    <row r="330" spans="1:14" x14ac:dyDescent="0.2">
      <c r="A330" s="216"/>
      <c r="B330" s="199"/>
      <c r="C330" s="217"/>
      <c r="D330" s="217"/>
      <c r="E330" s="218"/>
      <c r="F330" s="218"/>
      <c r="G330" s="219"/>
      <c r="H330" s="219"/>
      <c r="I330" s="219"/>
      <c r="J330" s="195"/>
      <c r="K330" s="195"/>
      <c r="L330" s="195"/>
      <c r="M330" s="194"/>
      <c r="N330" s="195"/>
    </row>
    <row r="331" spans="1:14" x14ac:dyDescent="0.2">
      <c r="A331" s="216"/>
      <c r="B331" s="199"/>
      <c r="C331" s="217"/>
      <c r="D331" s="217"/>
      <c r="E331" s="218"/>
      <c r="F331" s="218"/>
      <c r="G331" s="219"/>
      <c r="H331" s="219"/>
      <c r="I331" s="219"/>
      <c r="J331" s="195"/>
      <c r="K331" s="195"/>
      <c r="L331" s="195"/>
      <c r="M331" s="194"/>
      <c r="N331" s="195"/>
    </row>
    <row r="332" spans="1:14" x14ac:dyDescent="0.2">
      <c r="A332" s="216"/>
      <c r="B332" s="199"/>
      <c r="C332" s="217"/>
      <c r="D332" s="217"/>
      <c r="E332" s="218"/>
      <c r="F332" s="218"/>
      <c r="G332" s="219"/>
      <c r="H332" s="219"/>
      <c r="I332" s="219"/>
      <c r="J332" s="195"/>
      <c r="K332" s="195"/>
      <c r="L332" s="195"/>
      <c r="M332" s="194"/>
      <c r="N332" s="195"/>
    </row>
    <row r="333" spans="1:14" x14ac:dyDescent="0.2">
      <c r="A333" s="216"/>
      <c r="B333" s="199"/>
      <c r="C333" s="217"/>
      <c r="D333" s="217"/>
      <c r="E333" s="218"/>
      <c r="F333" s="218"/>
      <c r="G333" s="219"/>
      <c r="H333" s="219"/>
      <c r="I333" s="219"/>
      <c r="J333" s="195"/>
      <c r="K333" s="195"/>
      <c r="L333" s="195"/>
      <c r="M333" s="194"/>
      <c r="N333" s="195"/>
    </row>
    <row r="334" spans="1:14" x14ac:dyDescent="0.2">
      <c r="A334" s="216"/>
      <c r="B334" s="199"/>
      <c r="C334" s="217"/>
      <c r="D334" s="217"/>
      <c r="E334" s="218"/>
      <c r="F334" s="218"/>
      <c r="G334" s="219"/>
      <c r="H334" s="219"/>
      <c r="I334" s="219"/>
      <c r="J334" s="195"/>
      <c r="K334" s="195"/>
      <c r="L334" s="195"/>
      <c r="M334" s="194"/>
      <c r="N334" s="195"/>
    </row>
    <row r="335" spans="1:14" x14ac:dyDescent="0.2">
      <c r="A335" s="216"/>
      <c r="B335" s="199"/>
      <c r="C335" s="217"/>
      <c r="D335" s="217"/>
      <c r="E335" s="218"/>
      <c r="F335" s="218"/>
      <c r="G335" s="219"/>
      <c r="H335" s="219"/>
      <c r="I335" s="219"/>
      <c r="J335" s="195"/>
      <c r="K335" s="195"/>
      <c r="L335" s="195"/>
      <c r="M335" s="194"/>
      <c r="N335" s="195"/>
    </row>
    <row r="336" spans="1:14" x14ac:dyDescent="0.2">
      <c r="A336" s="216"/>
      <c r="B336" s="199"/>
      <c r="C336" s="217"/>
      <c r="D336" s="217"/>
      <c r="E336" s="218"/>
      <c r="F336" s="218"/>
      <c r="G336" s="219"/>
      <c r="H336" s="219"/>
      <c r="I336" s="219"/>
      <c r="J336" s="195"/>
      <c r="K336" s="195"/>
      <c r="L336" s="195"/>
      <c r="M336" s="194"/>
      <c r="N336" s="195"/>
    </row>
    <row r="337" spans="1:14" x14ac:dyDescent="0.2">
      <c r="A337" s="216"/>
      <c r="B337" s="199"/>
      <c r="C337" s="217"/>
      <c r="D337" s="217"/>
      <c r="E337" s="218"/>
      <c r="F337" s="218"/>
      <c r="G337" s="219"/>
      <c r="H337" s="219"/>
      <c r="I337" s="219"/>
      <c r="J337" s="195"/>
      <c r="K337" s="195"/>
      <c r="L337" s="195"/>
      <c r="M337" s="194"/>
      <c r="N337" s="195"/>
    </row>
    <row r="338" spans="1:14" x14ac:dyDescent="0.2">
      <c r="A338" s="216"/>
      <c r="B338" s="199"/>
      <c r="C338" s="217"/>
      <c r="D338" s="217"/>
      <c r="E338" s="218"/>
      <c r="F338" s="218"/>
      <c r="G338" s="219"/>
      <c r="H338" s="219"/>
      <c r="I338" s="219"/>
      <c r="J338" s="195"/>
      <c r="K338" s="195"/>
      <c r="L338" s="195"/>
      <c r="M338" s="194"/>
      <c r="N338" s="195"/>
    </row>
    <row r="339" spans="1:14" x14ac:dyDescent="0.2">
      <c r="A339" s="216"/>
      <c r="B339" s="199"/>
      <c r="C339" s="217"/>
      <c r="D339" s="217"/>
      <c r="E339" s="218"/>
      <c r="F339" s="218"/>
      <c r="G339" s="219"/>
      <c r="H339" s="219"/>
      <c r="I339" s="219"/>
      <c r="J339" s="195"/>
      <c r="K339" s="195"/>
      <c r="L339" s="195"/>
      <c r="M339" s="194"/>
      <c r="N339" s="195"/>
    </row>
    <row r="340" spans="1:14" x14ac:dyDescent="0.2">
      <c r="A340" s="216"/>
      <c r="B340" s="199"/>
      <c r="C340" s="217"/>
      <c r="D340" s="217"/>
      <c r="E340" s="218"/>
      <c r="F340" s="218"/>
      <c r="G340" s="219"/>
      <c r="H340" s="219"/>
      <c r="I340" s="219"/>
      <c r="J340" s="195"/>
      <c r="K340" s="195"/>
      <c r="L340" s="195"/>
      <c r="M340" s="194"/>
      <c r="N340" s="195"/>
    </row>
    <row r="341" spans="1:14" x14ac:dyDescent="0.2">
      <c r="A341" s="216"/>
      <c r="B341" s="199"/>
      <c r="C341" s="217"/>
      <c r="D341" s="217"/>
      <c r="E341" s="218"/>
      <c r="F341" s="218"/>
      <c r="G341" s="219"/>
      <c r="H341" s="219"/>
      <c r="I341" s="219"/>
      <c r="J341" s="195"/>
      <c r="K341" s="195"/>
      <c r="L341" s="195"/>
      <c r="M341" s="194"/>
      <c r="N341" s="195"/>
    </row>
    <row r="342" spans="1:14" x14ac:dyDescent="0.2">
      <c r="A342" s="216"/>
      <c r="B342" s="199"/>
      <c r="C342" s="217"/>
      <c r="D342" s="217"/>
      <c r="E342" s="218"/>
      <c r="F342" s="218"/>
      <c r="G342" s="219"/>
      <c r="H342" s="219"/>
      <c r="I342" s="219"/>
      <c r="J342" s="195"/>
      <c r="K342" s="195"/>
      <c r="L342" s="195"/>
      <c r="M342" s="194"/>
      <c r="N342" s="195"/>
    </row>
    <row r="343" spans="1:14" x14ac:dyDescent="0.2">
      <c r="A343" s="216"/>
      <c r="B343" s="199"/>
      <c r="C343" s="217"/>
      <c r="D343" s="217"/>
      <c r="E343" s="218"/>
      <c r="F343" s="218"/>
      <c r="G343" s="219"/>
      <c r="H343" s="219"/>
      <c r="I343" s="219"/>
      <c r="J343" s="195"/>
      <c r="K343" s="195"/>
      <c r="L343" s="195"/>
      <c r="M343" s="194"/>
      <c r="N343" s="195"/>
    </row>
    <row r="344" spans="1:14" x14ac:dyDescent="0.2">
      <c r="A344" s="216"/>
      <c r="B344" s="199"/>
      <c r="C344" s="217"/>
      <c r="D344" s="217"/>
      <c r="E344" s="218"/>
      <c r="F344" s="218"/>
      <c r="G344" s="219"/>
      <c r="H344" s="219"/>
      <c r="I344" s="219"/>
      <c r="J344" s="195"/>
      <c r="K344" s="195"/>
      <c r="L344" s="195"/>
      <c r="M344" s="194"/>
      <c r="N344" s="195"/>
    </row>
    <row r="345" spans="1:14" x14ac:dyDescent="0.2">
      <c r="A345" s="216"/>
      <c r="B345" s="199"/>
      <c r="C345" s="217"/>
      <c r="D345" s="217"/>
      <c r="E345" s="218"/>
      <c r="F345" s="218"/>
      <c r="G345" s="219"/>
      <c r="H345" s="219"/>
      <c r="I345" s="219"/>
      <c r="J345" s="195"/>
      <c r="K345" s="195"/>
      <c r="L345" s="195"/>
      <c r="M345" s="194"/>
      <c r="N345" s="195"/>
    </row>
    <row r="346" spans="1:14" x14ac:dyDescent="0.2">
      <c r="A346" s="216"/>
      <c r="B346" s="199"/>
      <c r="C346" s="217"/>
      <c r="D346" s="217"/>
      <c r="E346" s="218"/>
      <c r="F346" s="218"/>
      <c r="G346" s="219"/>
      <c r="H346" s="219"/>
      <c r="I346" s="219"/>
      <c r="J346" s="195"/>
      <c r="K346" s="195"/>
      <c r="L346" s="195"/>
      <c r="M346" s="194"/>
      <c r="N346" s="195"/>
    </row>
    <row r="347" spans="1:14" x14ac:dyDescent="0.2">
      <c r="A347" s="216"/>
      <c r="B347" s="199"/>
      <c r="C347" s="217"/>
      <c r="D347" s="217"/>
      <c r="E347" s="218"/>
      <c r="F347" s="218"/>
      <c r="G347" s="219"/>
      <c r="H347" s="219"/>
      <c r="I347" s="219"/>
      <c r="J347" s="195"/>
      <c r="K347" s="195"/>
      <c r="L347" s="195"/>
      <c r="M347" s="194"/>
      <c r="N347" s="195"/>
    </row>
    <row r="348" spans="1:14" x14ac:dyDescent="0.2">
      <c r="A348" s="216"/>
      <c r="B348" s="199"/>
      <c r="C348" s="217"/>
      <c r="D348" s="217"/>
      <c r="E348" s="218"/>
      <c r="F348" s="218"/>
      <c r="G348" s="219"/>
      <c r="H348" s="219"/>
      <c r="I348" s="219"/>
      <c r="J348" s="195"/>
      <c r="K348" s="195"/>
      <c r="L348" s="195"/>
      <c r="M348" s="194"/>
      <c r="N348" s="195"/>
    </row>
    <row r="349" spans="1:14" x14ac:dyDescent="0.2">
      <c r="A349" s="216"/>
      <c r="B349" s="199"/>
      <c r="C349" s="217"/>
      <c r="D349" s="217"/>
      <c r="E349" s="218"/>
      <c r="F349" s="218"/>
      <c r="G349" s="219"/>
      <c r="H349" s="219"/>
      <c r="I349" s="219"/>
      <c r="J349" s="195"/>
      <c r="K349" s="195"/>
      <c r="L349" s="195"/>
      <c r="M349" s="194"/>
      <c r="N349" s="195"/>
    </row>
    <row r="350" spans="1:14" x14ac:dyDescent="0.2">
      <c r="A350" s="216"/>
      <c r="B350" s="199"/>
      <c r="C350" s="217"/>
      <c r="D350" s="217"/>
      <c r="E350" s="218"/>
      <c r="F350" s="218"/>
      <c r="G350" s="219"/>
      <c r="H350" s="219"/>
      <c r="I350" s="219"/>
      <c r="J350" s="195"/>
      <c r="K350" s="195"/>
      <c r="L350" s="195"/>
      <c r="M350" s="194"/>
      <c r="N350" s="195"/>
    </row>
    <row r="351" spans="1:14" x14ac:dyDescent="0.2">
      <c r="A351" s="216"/>
      <c r="B351" s="199"/>
      <c r="C351" s="217"/>
      <c r="D351" s="217"/>
      <c r="E351" s="218"/>
      <c r="F351" s="218"/>
      <c r="G351" s="219"/>
      <c r="H351" s="219"/>
      <c r="I351" s="219"/>
      <c r="J351" s="195"/>
      <c r="K351" s="195"/>
      <c r="L351" s="195"/>
      <c r="M351" s="194"/>
      <c r="N351" s="195"/>
    </row>
    <row r="352" spans="1:14" x14ac:dyDescent="0.2">
      <c r="A352" s="216"/>
      <c r="B352" s="199"/>
      <c r="C352" s="217"/>
      <c r="D352" s="217"/>
      <c r="E352" s="218"/>
      <c r="F352" s="218"/>
      <c r="G352" s="219"/>
      <c r="H352" s="219"/>
      <c r="I352" s="219"/>
      <c r="J352" s="195"/>
      <c r="K352" s="195"/>
      <c r="L352" s="195"/>
      <c r="M352" s="194"/>
      <c r="N352" s="195"/>
    </row>
    <row r="353" spans="1:14" x14ac:dyDescent="0.2">
      <c r="A353" s="216"/>
      <c r="B353" s="199"/>
      <c r="C353" s="217"/>
      <c r="D353" s="217"/>
      <c r="E353" s="218"/>
      <c r="F353" s="218"/>
      <c r="G353" s="219"/>
      <c r="H353" s="219"/>
      <c r="I353" s="219"/>
      <c r="J353" s="195"/>
      <c r="K353" s="195"/>
      <c r="L353" s="195"/>
      <c r="M353" s="194"/>
      <c r="N353" s="195"/>
    </row>
    <row r="354" spans="1:14" x14ac:dyDescent="0.2">
      <c r="A354" s="216"/>
      <c r="B354" s="199"/>
      <c r="C354" s="217"/>
      <c r="D354" s="217"/>
      <c r="E354" s="218"/>
      <c r="F354" s="218"/>
      <c r="G354" s="219"/>
      <c r="H354" s="219"/>
      <c r="I354" s="219"/>
      <c r="J354" s="195"/>
      <c r="K354" s="195"/>
      <c r="L354" s="195"/>
      <c r="M354" s="194"/>
      <c r="N354" s="195"/>
    </row>
    <row r="355" spans="1:14" x14ac:dyDescent="0.2">
      <c r="A355" s="216"/>
      <c r="B355" s="199"/>
      <c r="C355" s="217"/>
      <c r="D355" s="217"/>
      <c r="E355" s="218"/>
      <c r="F355" s="218"/>
      <c r="G355" s="219"/>
      <c r="H355" s="219"/>
      <c r="I355" s="219"/>
      <c r="J355" s="195"/>
      <c r="K355" s="195"/>
      <c r="L355" s="195"/>
      <c r="M355" s="194"/>
      <c r="N355" s="195"/>
    </row>
    <row r="356" spans="1:14" x14ac:dyDescent="0.2">
      <c r="A356" s="216"/>
      <c r="B356" s="199"/>
      <c r="C356" s="217"/>
      <c r="D356" s="217"/>
      <c r="E356" s="218"/>
      <c r="F356" s="218"/>
      <c r="G356" s="219"/>
      <c r="H356" s="219"/>
      <c r="I356" s="219"/>
      <c r="J356" s="195"/>
      <c r="K356" s="195"/>
      <c r="L356" s="195"/>
      <c r="M356" s="194"/>
      <c r="N356" s="195"/>
    </row>
    <row r="357" spans="1:14" x14ac:dyDescent="0.2">
      <c r="A357" s="216"/>
      <c r="B357" s="199"/>
      <c r="C357" s="217"/>
      <c r="D357" s="217"/>
      <c r="E357" s="218"/>
      <c r="F357" s="218"/>
      <c r="G357" s="219"/>
      <c r="H357" s="219"/>
      <c r="I357" s="219"/>
      <c r="J357" s="195"/>
      <c r="K357" s="195"/>
      <c r="L357" s="195"/>
      <c r="M357" s="194"/>
      <c r="N357" s="195"/>
    </row>
    <row r="358" spans="1:14" x14ac:dyDescent="0.2">
      <c r="A358" s="216"/>
      <c r="B358" s="199"/>
      <c r="C358" s="217"/>
      <c r="D358" s="217"/>
      <c r="E358" s="218"/>
      <c r="F358" s="218"/>
      <c r="G358" s="219"/>
      <c r="H358" s="219"/>
      <c r="I358" s="219"/>
      <c r="J358" s="195"/>
      <c r="K358" s="195"/>
      <c r="L358" s="195"/>
      <c r="M358" s="194"/>
      <c r="N358" s="195"/>
    </row>
    <row r="359" spans="1:14" x14ac:dyDescent="0.2">
      <c r="A359" s="216"/>
      <c r="B359" s="199"/>
      <c r="C359" s="217"/>
      <c r="D359" s="217"/>
      <c r="E359" s="218"/>
      <c r="F359" s="218"/>
      <c r="G359" s="219"/>
      <c r="H359" s="219"/>
      <c r="I359" s="219"/>
      <c r="J359" s="195"/>
      <c r="K359" s="195"/>
      <c r="L359" s="195"/>
      <c r="M359" s="194"/>
      <c r="N359" s="195"/>
    </row>
    <row r="360" spans="1:14" x14ac:dyDescent="0.2">
      <c r="A360" s="216"/>
      <c r="B360" s="199"/>
      <c r="C360" s="217"/>
      <c r="D360" s="217"/>
      <c r="E360" s="218"/>
      <c r="F360" s="218"/>
      <c r="G360" s="219"/>
      <c r="H360" s="219"/>
      <c r="I360" s="219"/>
      <c r="J360" s="195"/>
      <c r="K360" s="195"/>
      <c r="L360" s="195"/>
      <c r="M360" s="194"/>
      <c r="N360" s="195"/>
    </row>
    <row r="361" spans="1:14" x14ac:dyDescent="0.2">
      <c r="A361" s="216"/>
      <c r="B361" s="199"/>
      <c r="C361" s="217"/>
      <c r="D361" s="217"/>
      <c r="E361" s="218"/>
      <c r="F361" s="218"/>
      <c r="G361" s="219"/>
      <c r="H361" s="219"/>
      <c r="I361" s="219"/>
      <c r="J361" s="195"/>
      <c r="K361" s="195"/>
      <c r="L361" s="195"/>
      <c r="M361" s="194"/>
      <c r="N361" s="195"/>
    </row>
    <row r="362" spans="1:14" x14ac:dyDescent="0.2">
      <c r="A362" s="216"/>
      <c r="B362" s="199"/>
      <c r="C362" s="217"/>
      <c r="D362" s="217"/>
      <c r="E362" s="218"/>
      <c r="F362" s="218"/>
      <c r="G362" s="219"/>
      <c r="H362" s="219"/>
      <c r="I362" s="219"/>
      <c r="J362" s="195"/>
      <c r="K362" s="195"/>
      <c r="L362" s="195"/>
      <c r="M362" s="194"/>
      <c r="N362" s="195"/>
    </row>
    <row r="363" spans="1:14" x14ac:dyDescent="0.2">
      <c r="A363" s="216"/>
      <c r="B363" s="199"/>
      <c r="C363" s="217"/>
      <c r="D363" s="217"/>
      <c r="E363" s="218"/>
      <c r="F363" s="218"/>
      <c r="G363" s="219"/>
      <c r="H363" s="219"/>
      <c r="I363" s="219"/>
      <c r="J363" s="195"/>
      <c r="K363" s="195"/>
      <c r="L363" s="195"/>
      <c r="M363" s="194"/>
      <c r="N363" s="195"/>
    </row>
    <row r="364" spans="1:14" x14ac:dyDescent="0.2">
      <c r="A364" s="216"/>
      <c r="B364" s="199"/>
      <c r="C364" s="217"/>
      <c r="D364" s="217"/>
      <c r="E364" s="218"/>
      <c r="F364" s="218"/>
      <c r="G364" s="219"/>
      <c r="H364" s="219"/>
      <c r="I364" s="219"/>
      <c r="J364" s="195"/>
      <c r="K364" s="195"/>
      <c r="L364" s="195"/>
      <c r="M364" s="194"/>
      <c r="N364" s="195"/>
    </row>
    <row r="365" spans="1:14" x14ac:dyDescent="0.2">
      <c r="A365" s="216"/>
      <c r="B365" s="199"/>
      <c r="C365" s="217"/>
      <c r="D365" s="217"/>
      <c r="E365" s="218"/>
      <c r="F365" s="218"/>
      <c r="G365" s="219"/>
      <c r="H365" s="219"/>
      <c r="I365" s="219"/>
      <c r="J365" s="195"/>
      <c r="K365" s="195"/>
      <c r="L365" s="195"/>
      <c r="M365" s="194"/>
      <c r="N365" s="195"/>
    </row>
    <row r="366" spans="1:14" x14ac:dyDescent="0.2">
      <c r="A366" s="216"/>
      <c r="B366" s="199"/>
      <c r="C366" s="217"/>
      <c r="D366" s="217"/>
      <c r="E366" s="218"/>
      <c r="F366" s="218"/>
      <c r="G366" s="219"/>
      <c r="H366" s="219"/>
      <c r="I366" s="219"/>
      <c r="J366" s="195"/>
      <c r="K366" s="195"/>
      <c r="L366" s="195"/>
      <c r="M366" s="194"/>
      <c r="N366" s="195"/>
    </row>
    <row r="367" spans="1:14" x14ac:dyDescent="0.2">
      <c r="A367" s="216"/>
      <c r="B367" s="199"/>
      <c r="C367" s="217"/>
      <c r="D367" s="217"/>
      <c r="E367" s="218"/>
      <c r="F367" s="218"/>
      <c r="G367" s="219"/>
      <c r="H367" s="219"/>
      <c r="I367" s="219"/>
      <c r="J367" s="195"/>
      <c r="K367" s="195"/>
      <c r="L367" s="195"/>
      <c r="M367" s="194"/>
      <c r="N367" s="195"/>
    </row>
    <row r="368" spans="1:14" x14ac:dyDescent="0.2">
      <c r="A368" s="216"/>
      <c r="B368" s="199"/>
      <c r="C368" s="217"/>
      <c r="D368" s="217"/>
      <c r="E368" s="218"/>
      <c r="F368" s="218"/>
      <c r="G368" s="219"/>
      <c r="H368" s="219"/>
      <c r="I368" s="219"/>
      <c r="J368" s="195"/>
      <c r="K368" s="195"/>
      <c r="L368" s="195"/>
      <c r="M368" s="194"/>
      <c r="N368" s="195"/>
    </row>
    <row r="369" spans="1:14" x14ac:dyDescent="0.2">
      <c r="A369" s="216"/>
      <c r="B369" s="199"/>
      <c r="C369" s="217"/>
      <c r="D369" s="217"/>
      <c r="E369" s="218"/>
      <c r="F369" s="218"/>
      <c r="G369" s="219"/>
      <c r="H369" s="219"/>
      <c r="I369" s="219"/>
      <c r="J369" s="195"/>
      <c r="K369" s="195"/>
      <c r="L369" s="195"/>
      <c r="M369" s="194"/>
      <c r="N369" s="195"/>
    </row>
    <row r="370" spans="1:14" x14ac:dyDescent="0.2">
      <c r="A370" s="216"/>
      <c r="B370" s="199"/>
      <c r="C370" s="217"/>
      <c r="D370" s="217"/>
      <c r="E370" s="218"/>
      <c r="F370" s="218"/>
      <c r="G370" s="219"/>
      <c r="H370" s="219"/>
      <c r="I370" s="219"/>
      <c r="J370" s="195"/>
      <c r="K370" s="195"/>
      <c r="L370" s="195"/>
      <c r="M370" s="194"/>
      <c r="N370" s="195"/>
    </row>
    <row r="371" spans="1:14" x14ac:dyDescent="0.2">
      <c r="A371" s="216"/>
      <c r="B371" s="199"/>
      <c r="C371" s="217"/>
      <c r="D371" s="217"/>
      <c r="E371" s="218"/>
      <c r="F371" s="218"/>
      <c r="G371" s="219"/>
      <c r="H371" s="219"/>
      <c r="I371" s="219"/>
      <c r="J371" s="195"/>
      <c r="K371" s="195"/>
      <c r="L371" s="195"/>
      <c r="M371" s="194"/>
      <c r="N371" s="195"/>
    </row>
    <row r="372" spans="1:14" x14ac:dyDescent="0.2">
      <c r="A372" s="216"/>
      <c r="B372" s="199"/>
      <c r="C372" s="217"/>
      <c r="D372" s="217"/>
      <c r="E372" s="218"/>
      <c r="F372" s="218"/>
      <c r="G372" s="219"/>
      <c r="H372" s="219"/>
      <c r="I372" s="219"/>
      <c r="J372" s="195"/>
      <c r="K372" s="195"/>
      <c r="L372" s="195"/>
      <c r="M372" s="194"/>
      <c r="N372" s="195"/>
    </row>
    <row r="373" spans="1:14" x14ac:dyDescent="0.2">
      <c r="A373" s="216"/>
      <c r="B373" s="199"/>
      <c r="C373" s="217"/>
      <c r="D373" s="217"/>
      <c r="E373" s="218"/>
      <c r="F373" s="218"/>
      <c r="G373" s="219"/>
      <c r="H373" s="219"/>
      <c r="I373" s="219"/>
      <c r="J373" s="195"/>
      <c r="K373" s="195"/>
      <c r="L373" s="195"/>
      <c r="M373" s="194"/>
      <c r="N373" s="195"/>
    </row>
    <row r="374" spans="1:14" x14ac:dyDescent="0.2">
      <c r="A374" s="216"/>
      <c r="B374" s="199"/>
      <c r="C374" s="217"/>
      <c r="D374" s="217"/>
      <c r="E374" s="218"/>
      <c r="F374" s="218"/>
      <c r="G374" s="219"/>
      <c r="H374" s="219"/>
      <c r="I374" s="219"/>
      <c r="J374" s="195"/>
      <c r="K374" s="195"/>
      <c r="L374" s="195"/>
      <c r="M374" s="194"/>
      <c r="N374" s="195"/>
    </row>
    <row r="375" spans="1:14" x14ac:dyDescent="0.2">
      <c r="A375" s="216"/>
      <c r="B375" s="199"/>
      <c r="C375" s="217"/>
      <c r="D375" s="217"/>
      <c r="E375" s="218"/>
      <c r="F375" s="218"/>
      <c r="G375" s="219"/>
      <c r="H375" s="219"/>
      <c r="I375" s="219"/>
      <c r="J375" s="195"/>
      <c r="K375" s="195"/>
      <c r="L375" s="195"/>
      <c r="M375" s="194"/>
      <c r="N375" s="195"/>
    </row>
    <row r="376" spans="1:14" x14ac:dyDescent="0.2">
      <c r="A376" s="216"/>
      <c r="B376" s="199"/>
      <c r="C376" s="217"/>
      <c r="D376" s="217"/>
      <c r="E376" s="218"/>
      <c r="F376" s="218"/>
      <c r="G376" s="219"/>
      <c r="H376" s="219"/>
      <c r="I376" s="219"/>
      <c r="J376" s="195"/>
      <c r="K376" s="195"/>
      <c r="L376" s="195"/>
      <c r="M376" s="194"/>
      <c r="N376" s="195"/>
    </row>
    <row r="377" spans="1:14" x14ac:dyDescent="0.2">
      <c r="A377" s="216"/>
      <c r="B377" s="199"/>
      <c r="C377" s="217"/>
      <c r="D377" s="217"/>
      <c r="E377" s="218"/>
      <c r="F377" s="218"/>
      <c r="G377" s="219"/>
      <c r="H377" s="219"/>
      <c r="I377" s="219"/>
      <c r="J377" s="195"/>
      <c r="K377" s="195"/>
      <c r="L377" s="195"/>
      <c r="M377" s="194"/>
      <c r="N377" s="195"/>
    </row>
    <row r="378" spans="1:14" x14ac:dyDescent="0.2">
      <c r="A378" s="216"/>
      <c r="B378" s="199"/>
      <c r="C378" s="217"/>
      <c r="D378" s="217"/>
      <c r="E378" s="218"/>
      <c r="F378" s="218"/>
      <c r="G378" s="219"/>
      <c r="H378" s="219"/>
      <c r="I378" s="219"/>
      <c r="J378" s="195"/>
      <c r="K378" s="195"/>
      <c r="L378" s="195"/>
      <c r="M378" s="194"/>
      <c r="N378" s="195"/>
    </row>
    <row r="379" spans="1:14" x14ac:dyDescent="0.2">
      <c r="A379" s="216"/>
      <c r="B379" s="199"/>
      <c r="C379" s="217"/>
      <c r="D379" s="217"/>
      <c r="E379" s="218"/>
      <c r="F379" s="218"/>
      <c r="G379" s="219"/>
      <c r="H379" s="219"/>
      <c r="I379" s="219"/>
      <c r="J379" s="195"/>
      <c r="K379" s="195"/>
      <c r="L379" s="195"/>
      <c r="M379" s="194"/>
      <c r="N379" s="195"/>
    </row>
    <row r="380" spans="1:14" x14ac:dyDescent="0.2">
      <c r="A380" s="216"/>
      <c r="B380" s="199"/>
      <c r="C380" s="217"/>
      <c r="D380" s="217"/>
      <c r="E380" s="218"/>
      <c r="F380" s="218"/>
      <c r="G380" s="219"/>
      <c r="H380" s="219"/>
      <c r="I380" s="219"/>
      <c r="J380" s="195"/>
      <c r="K380" s="195"/>
      <c r="L380" s="195"/>
      <c r="M380" s="194"/>
      <c r="N380" s="195"/>
    </row>
    <row r="381" spans="1:14" x14ac:dyDescent="0.2">
      <c r="A381" s="216"/>
      <c r="B381" s="199"/>
      <c r="C381" s="217"/>
      <c r="D381" s="217"/>
      <c r="E381" s="218"/>
      <c r="F381" s="218"/>
      <c r="G381" s="219"/>
      <c r="H381" s="219"/>
      <c r="I381" s="219"/>
      <c r="J381" s="195"/>
      <c r="K381" s="195"/>
      <c r="L381" s="195"/>
      <c r="M381" s="194"/>
      <c r="N381" s="195"/>
    </row>
    <row r="382" spans="1:14" x14ac:dyDescent="0.2">
      <c r="A382" s="216"/>
      <c r="B382" s="199"/>
      <c r="C382" s="217"/>
      <c r="D382" s="217"/>
      <c r="E382" s="218"/>
      <c r="F382" s="218"/>
      <c r="G382" s="219"/>
      <c r="H382" s="219"/>
      <c r="I382" s="219"/>
      <c r="J382" s="195"/>
      <c r="K382" s="195"/>
      <c r="L382" s="195"/>
      <c r="M382" s="194"/>
      <c r="N382" s="195"/>
    </row>
    <row r="383" spans="1:14" x14ac:dyDescent="0.2">
      <c r="A383" s="216"/>
      <c r="B383" s="199"/>
      <c r="C383" s="217"/>
      <c r="D383" s="217"/>
      <c r="E383" s="218"/>
      <c r="F383" s="218"/>
      <c r="G383" s="219"/>
      <c r="H383" s="219"/>
      <c r="I383" s="219"/>
      <c r="J383" s="195"/>
      <c r="K383" s="195"/>
      <c r="L383" s="195"/>
      <c r="M383" s="194"/>
      <c r="N383" s="195"/>
    </row>
    <row r="384" spans="1:14" x14ac:dyDescent="0.2">
      <c r="A384" s="216"/>
      <c r="B384" s="199"/>
      <c r="C384" s="217"/>
      <c r="D384" s="217"/>
      <c r="E384" s="218"/>
      <c r="F384" s="218"/>
      <c r="G384" s="219"/>
      <c r="H384" s="219"/>
      <c r="I384" s="219"/>
      <c r="J384" s="195"/>
      <c r="K384" s="195"/>
      <c r="L384" s="195"/>
      <c r="M384" s="194"/>
      <c r="N384" s="195"/>
    </row>
    <row r="385" spans="1:18" x14ac:dyDescent="0.2">
      <c r="A385" s="216"/>
      <c r="B385" s="199"/>
      <c r="C385" s="217"/>
      <c r="D385" s="217"/>
      <c r="E385" s="218"/>
      <c r="F385" s="218"/>
      <c r="G385" s="219"/>
      <c r="H385" s="219"/>
      <c r="I385" s="219"/>
      <c r="J385" s="195"/>
      <c r="K385" s="195"/>
      <c r="L385" s="195"/>
      <c r="M385" s="194"/>
      <c r="N385" s="195"/>
    </row>
    <row r="386" spans="1:18" x14ac:dyDescent="0.2">
      <c r="A386" s="216"/>
      <c r="B386" s="199"/>
      <c r="C386" s="217"/>
      <c r="D386" s="217"/>
      <c r="E386" s="218"/>
      <c r="F386" s="218"/>
      <c r="G386" s="219"/>
      <c r="H386" s="219"/>
      <c r="I386" s="219"/>
      <c r="J386" s="195"/>
      <c r="K386" s="195"/>
      <c r="L386" s="195"/>
      <c r="M386" s="194"/>
      <c r="N386" s="195"/>
    </row>
    <row r="387" spans="1:18" x14ac:dyDescent="0.2">
      <c r="A387" s="216"/>
      <c r="B387" s="199"/>
      <c r="C387" s="217"/>
      <c r="D387" s="217"/>
      <c r="E387" s="218"/>
      <c r="F387" s="218"/>
      <c r="G387" s="219"/>
      <c r="H387" s="219"/>
      <c r="I387" s="219"/>
      <c r="J387" s="195"/>
      <c r="K387" s="195"/>
      <c r="L387" s="195"/>
      <c r="M387" s="194"/>
      <c r="N387" s="195"/>
    </row>
    <row r="388" spans="1:18" x14ac:dyDescent="0.2">
      <c r="A388" s="216"/>
      <c r="B388" s="199"/>
      <c r="C388" s="217"/>
      <c r="D388" s="217"/>
      <c r="E388" s="218"/>
      <c r="F388" s="218"/>
      <c r="G388" s="219"/>
      <c r="H388" s="219"/>
      <c r="I388" s="219"/>
      <c r="J388" s="195"/>
      <c r="K388" s="195"/>
      <c r="L388" s="195"/>
      <c r="M388" s="194"/>
      <c r="N388" s="195"/>
    </row>
    <row r="389" spans="1:18" x14ac:dyDescent="0.2">
      <c r="A389" s="216"/>
      <c r="B389" s="199"/>
      <c r="C389" s="217"/>
      <c r="D389" s="217"/>
      <c r="E389" s="218"/>
      <c r="F389" s="218"/>
      <c r="G389" s="219"/>
      <c r="H389" s="219"/>
      <c r="I389" s="219"/>
      <c r="J389" s="195"/>
      <c r="K389" s="195"/>
      <c r="L389" s="195"/>
      <c r="M389" s="194"/>
      <c r="N389" s="195"/>
    </row>
    <row r="390" spans="1:18" x14ac:dyDescent="0.2">
      <c r="A390" s="216"/>
      <c r="B390" s="199"/>
      <c r="C390" s="217"/>
      <c r="D390" s="217"/>
      <c r="E390" s="218"/>
      <c r="F390" s="218"/>
      <c r="G390" s="219"/>
      <c r="H390" s="219"/>
      <c r="I390" s="219"/>
      <c r="J390" s="195"/>
      <c r="K390" s="195"/>
      <c r="L390" s="195"/>
      <c r="M390" s="194"/>
      <c r="N390" s="195"/>
    </row>
    <row r="391" spans="1:18" x14ac:dyDescent="0.2">
      <c r="A391" s="216"/>
      <c r="B391" s="199"/>
      <c r="C391" s="217"/>
      <c r="D391" s="217"/>
      <c r="E391" s="218"/>
      <c r="F391" s="218"/>
      <c r="G391" s="219"/>
      <c r="H391" s="219"/>
      <c r="I391" s="219"/>
      <c r="J391" s="195"/>
      <c r="K391" s="195"/>
      <c r="L391" s="195"/>
      <c r="M391" s="194"/>
      <c r="N391" s="195"/>
    </row>
    <row r="392" spans="1:18" x14ac:dyDescent="0.2">
      <c r="A392" s="216"/>
      <c r="B392" s="199"/>
      <c r="C392" s="217"/>
      <c r="D392" s="217"/>
      <c r="E392" s="218"/>
      <c r="F392" s="218"/>
      <c r="G392" s="219"/>
      <c r="H392" s="219"/>
      <c r="I392" s="219"/>
      <c r="J392" s="195"/>
      <c r="K392" s="195"/>
      <c r="L392" s="195"/>
      <c r="M392" s="194"/>
      <c r="N392" s="195"/>
    </row>
    <row r="393" spans="1:18" x14ac:dyDescent="0.2">
      <c r="A393" s="216"/>
      <c r="B393" s="199"/>
      <c r="C393" s="217"/>
      <c r="D393" s="217"/>
      <c r="E393" s="218"/>
      <c r="F393" s="218"/>
      <c r="G393" s="219"/>
      <c r="H393" s="219"/>
      <c r="I393" s="219"/>
      <c r="J393" s="195"/>
      <c r="K393" s="195"/>
      <c r="L393" s="195"/>
      <c r="M393" s="194"/>
      <c r="N393" s="195"/>
    </row>
    <row r="394" spans="1:18" x14ac:dyDescent="0.2">
      <c r="A394" s="216"/>
      <c r="B394" s="199"/>
      <c r="C394" s="217"/>
      <c r="D394" s="221"/>
      <c r="E394" s="217"/>
      <c r="F394" s="217"/>
      <c r="G394" s="217"/>
      <c r="H394" s="222"/>
      <c r="I394" s="222"/>
      <c r="J394" s="222"/>
      <c r="K394" s="222"/>
      <c r="L394" s="222"/>
      <c r="M394" s="222"/>
      <c r="N394" s="209"/>
      <c r="O394" s="209"/>
      <c r="P394" s="209"/>
      <c r="Q394" s="209"/>
      <c r="R394" s="223"/>
    </row>
    <row r="395" spans="1:18" x14ac:dyDescent="0.2">
      <c r="A395" s="224"/>
      <c r="B395" s="224"/>
      <c r="C395" s="224"/>
      <c r="D395" s="224"/>
      <c r="E395" s="224"/>
      <c r="F395" s="224"/>
      <c r="G395" s="225"/>
      <c r="H395" s="225"/>
      <c r="I395" s="225"/>
      <c r="J395" s="225"/>
      <c r="K395" s="225"/>
      <c r="L395" s="225"/>
      <c r="M395" s="225"/>
      <c r="N395" s="225"/>
      <c r="O395" s="225"/>
      <c r="P395" s="225"/>
      <c r="Q395" s="225"/>
      <c r="R395" s="225"/>
    </row>
    <row r="396" spans="1:18" x14ac:dyDescent="0.2">
      <c r="A396" s="226"/>
      <c r="B396" s="172"/>
      <c r="C396" s="172"/>
      <c r="D396" s="172"/>
      <c r="E396" s="172"/>
      <c r="F396" s="172"/>
      <c r="G396" s="172"/>
      <c r="H396" s="172"/>
      <c r="I396" s="201" t="s">
        <v>161</v>
      </c>
      <c r="J396" s="172"/>
      <c r="K396" s="172"/>
      <c r="L396" s="172"/>
      <c r="M396" s="172"/>
      <c r="N396" s="172"/>
      <c r="O396" s="172"/>
      <c r="P396" s="172"/>
      <c r="Q396" s="172"/>
      <c r="R396" s="172"/>
    </row>
    <row r="397" spans="1:18" hidden="1" x14ac:dyDescent="0.2">
      <c r="A397" s="227" t="s">
        <v>190</v>
      </c>
      <c r="B397" s="228"/>
      <c r="C397" s="228"/>
      <c r="D397" s="228"/>
      <c r="E397" s="228"/>
      <c r="F397" s="228"/>
      <c r="G397" s="228"/>
      <c r="H397" s="228"/>
      <c r="I397" s="228"/>
      <c r="J397" s="228"/>
      <c r="K397" s="228"/>
      <c r="L397" s="228"/>
      <c r="M397" s="228"/>
      <c r="N397" s="228"/>
      <c r="O397" s="228"/>
      <c r="P397" s="228"/>
      <c r="Q397" s="228"/>
      <c r="R397" s="228"/>
    </row>
    <row r="398" spans="1:18" hidden="1" x14ac:dyDescent="0.2">
      <c r="A398" s="228" t="s">
        <v>91</v>
      </c>
      <c r="B398" s="228">
        <v>24</v>
      </c>
      <c r="C398" s="228" t="s">
        <v>52</v>
      </c>
      <c r="D398" s="228"/>
      <c r="E398" s="228"/>
      <c r="F398" s="228"/>
      <c r="G398" s="228"/>
      <c r="H398" s="228"/>
      <c r="I398" s="228"/>
      <c r="J398" s="228"/>
      <c r="K398" s="228"/>
      <c r="L398" s="228"/>
      <c r="M398" s="228"/>
      <c r="N398" s="228"/>
      <c r="O398" s="228"/>
      <c r="P398" s="228"/>
      <c r="Q398" s="228"/>
      <c r="R398" s="228"/>
    </row>
    <row r="399" spans="1:18" hidden="1" x14ac:dyDescent="0.2">
      <c r="A399" s="228" t="s">
        <v>96</v>
      </c>
      <c r="B399" s="228">
        <f>B398/I399/1000</f>
        <v>0.17021276595744683</v>
      </c>
      <c r="C399" s="228" t="s">
        <v>93</v>
      </c>
      <c r="D399" s="228"/>
      <c r="E399" s="228"/>
      <c r="F399" s="228" t="s">
        <v>97</v>
      </c>
      <c r="G399" s="228"/>
      <c r="H399" s="228"/>
      <c r="I399" s="228">
        <v>0.14099999999999999</v>
      </c>
      <c r="J399" s="228" t="s">
        <v>95</v>
      </c>
      <c r="K399" s="228"/>
      <c r="L399" s="228"/>
      <c r="M399" s="228"/>
      <c r="N399" s="228"/>
      <c r="O399" s="228"/>
      <c r="P399" s="228"/>
      <c r="Q399" s="228"/>
      <c r="R399" s="228"/>
    </row>
    <row r="400" spans="1:18" hidden="1" x14ac:dyDescent="0.2">
      <c r="A400" s="228" t="s">
        <v>98</v>
      </c>
      <c r="B400" s="228">
        <f>B398/I400</f>
        <v>2.2857142857142857E-2</v>
      </c>
      <c r="C400" s="228" t="s">
        <v>99</v>
      </c>
      <c r="D400" s="228"/>
      <c r="E400" s="228"/>
      <c r="F400" s="228" t="s">
        <v>100</v>
      </c>
      <c r="G400" s="228"/>
      <c r="H400" s="228"/>
      <c r="I400" s="228">
        <v>1050</v>
      </c>
      <c r="J400" s="228" t="s">
        <v>101</v>
      </c>
      <c r="K400" s="228"/>
      <c r="L400" s="228"/>
      <c r="M400" s="228"/>
      <c r="N400" s="228"/>
      <c r="O400" s="228"/>
      <c r="P400" s="228"/>
      <c r="Q400" s="228"/>
      <c r="R400" s="228"/>
    </row>
    <row r="401" spans="1:18" hidden="1" x14ac:dyDescent="0.2">
      <c r="A401" s="228" t="s">
        <v>191</v>
      </c>
      <c r="B401" s="229">
        <f>B398/I401*1000000</f>
        <v>5333.333333333333</v>
      </c>
      <c r="C401" s="228" t="s">
        <v>192</v>
      </c>
      <c r="D401" s="221"/>
      <c r="E401" s="230"/>
      <c r="F401" s="231" t="s">
        <v>193</v>
      </c>
      <c r="G401" s="232"/>
      <c r="H401" s="232"/>
      <c r="I401" s="228">
        <v>4500</v>
      </c>
      <c r="J401" s="228" t="s">
        <v>44</v>
      </c>
      <c r="K401" s="233"/>
      <c r="L401" s="233"/>
      <c r="M401" s="234"/>
      <c r="N401" s="233"/>
      <c r="O401" s="228"/>
      <c r="P401" s="228"/>
      <c r="Q401" s="228"/>
      <c r="R401" s="228"/>
    </row>
    <row r="402" spans="1:18" ht="64.5" hidden="1" thickBot="1" x14ac:dyDescent="0.25">
      <c r="A402" s="235" t="s">
        <v>102</v>
      </c>
      <c r="B402" s="236" t="s">
        <v>10</v>
      </c>
      <c r="C402" s="237" t="s">
        <v>104</v>
      </c>
      <c r="D402" s="238" t="s">
        <v>103</v>
      </c>
      <c r="E402" s="239" t="s">
        <v>194</v>
      </c>
      <c r="F402" s="240" t="s">
        <v>107</v>
      </c>
      <c r="G402" s="241" t="s">
        <v>168</v>
      </c>
      <c r="H402" s="241" t="s">
        <v>195</v>
      </c>
      <c r="I402" s="241" t="s">
        <v>170</v>
      </c>
      <c r="J402" s="241" t="s">
        <v>110</v>
      </c>
      <c r="K402" s="242" t="s">
        <v>111</v>
      </c>
    </row>
    <row r="403" spans="1:18" hidden="1" x14ac:dyDescent="0.2">
      <c r="A403" s="968" t="s">
        <v>196</v>
      </c>
      <c r="B403" s="243" t="s">
        <v>113</v>
      </c>
      <c r="C403" s="244">
        <v>2.1100000000000001E-5</v>
      </c>
      <c r="D403" s="244">
        <v>1.7999999999999999E-6</v>
      </c>
      <c r="E403" s="245">
        <v>9.0999999999999997E-7</v>
      </c>
      <c r="F403" s="244">
        <f>C403*$B$399</f>
        <v>3.5914893617021286E-6</v>
      </c>
      <c r="G403" s="244">
        <f>D403*$B$400</f>
        <v>4.114285714285714E-8</v>
      </c>
      <c r="H403" s="244"/>
      <c r="I403" s="244">
        <f t="shared" ref="I403:I464" si="37">MAX(F403:H403)</f>
        <v>3.5914893617021286E-6</v>
      </c>
      <c r="J403" s="246">
        <f t="shared" ref="J403:J442" si="38">I403*8760/2000</f>
        <v>1.5730723404255322E-5</v>
      </c>
      <c r="K403" s="247">
        <f t="shared" ref="K403:K442" si="39">I403*8760/2000</f>
        <v>1.5730723404255322E-5</v>
      </c>
    </row>
    <row r="404" spans="1:18" hidden="1" x14ac:dyDescent="0.2">
      <c r="A404" s="969"/>
      <c r="B404" s="248" t="s">
        <v>114</v>
      </c>
      <c r="C404" s="202">
        <v>2.53E-7</v>
      </c>
      <c r="D404" s="202">
        <v>1.7999999999999999E-6</v>
      </c>
      <c r="E404" s="202">
        <v>5.0000000000000004E-6</v>
      </c>
      <c r="F404" s="244">
        <f>C404*$B$399</f>
        <v>4.3063829787234052E-8</v>
      </c>
      <c r="G404" s="244">
        <f>D404*$B$400</f>
        <v>4.114285714285714E-8</v>
      </c>
      <c r="H404" s="244"/>
      <c r="I404" s="202">
        <f t="shared" si="37"/>
        <v>4.3063829787234052E-8</v>
      </c>
      <c r="J404" s="249">
        <f t="shared" si="38"/>
        <v>1.8861957446808514E-7</v>
      </c>
      <c r="K404" s="250">
        <f t="shared" si="39"/>
        <v>1.8861957446808514E-7</v>
      </c>
    </row>
    <row r="405" spans="1:18" hidden="1" x14ac:dyDescent="0.2">
      <c r="A405" s="969"/>
      <c r="B405" s="248" t="s">
        <v>171</v>
      </c>
      <c r="C405" s="202"/>
      <c r="D405" s="202"/>
      <c r="E405" s="202">
        <v>8.3000000000000001E-4</v>
      </c>
      <c r="F405" s="244"/>
      <c r="G405" s="244"/>
      <c r="H405" s="244"/>
      <c r="I405" s="202">
        <f t="shared" si="37"/>
        <v>0</v>
      </c>
      <c r="J405" s="249">
        <f t="shared" si="38"/>
        <v>0</v>
      </c>
      <c r="K405" s="250">
        <f t="shared" si="39"/>
        <v>0</v>
      </c>
    </row>
    <row r="406" spans="1:18" hidden="1" x14ac:dyDescent="0.2">
      <c r="A406" s="969"/>
      <c r="B406" s="248" t="s">
        <v>172</v>
      </c>
      <c r="C406" s="202"/>
      <c r="D406" s="202"/>
      <c r="E406" s="202">
        <v>3.2000000000000001E-9</v>
      </c>
      <c r="F406" s="244"/>
      <c r="G406" s="244"/>
      <c r="H406" s="244"/>
      <c r="I406" s="202">
        <f t="shared" si="37"/>
        <v>0</v>
      </c>
      <c r="J406" s="249">
        <f t="shared" si="38"/>
        <v>0</v>
      </c>
      <c r="K406" s="250">
        <f t="shared" si="39"/>
        <v>0</v>
      </c>
    </row>
    <row r="407" spans="1:18" hidden="1" x14ac:dyDescent="0.2">
      <c r="A407" s="969"/>
      <c r="B407" s="248" t="s">
        <v>173</v>
      </c>
      <c r="C407" s="202"/>
      <c r="D407" s="202"/>
      <c r="E407" s="202">
        <v>4.0000000000000001E-3</v>
      </c>
      <c r="F407" s="244"/>
      <c r="G407" s="244"/>
      <c r="H407" s="244"/>
      <c r="I407" s="202">
        <f t="shared" si="37"/>
        <v>0</v>
      </c>
      <c r="J407" s="249">
        <f t="shared" si="38"/>
        <v>0</v>
      </c>
      <c r="K407" s="250">
        <f t="shared" si="39"/>
        <v>0</v>
      </c>
    </row>
    <row r="408" spans="1:18" hidden="1" x14ac:dyDescent="0.2">
      <c r="A408" s="969"/>
      <c r="B408" s="248" t="s">
        <v>115</v>
      </c>
      <c r="C408" s="202">
        <v>1.22E-6</v>
      </c>
      <c r="D408" s="202">
        <v>2.3999999999999999E-6</v>
      </c>
      <c r="E408" s="202"/>
      <c r="F408" s="244">
        <f>C408*$B$399</f>
        <v>2.0765957446808513E-7</v>
      </c>
      <c r="G408" s="244">
        <f t="shared" ref="G408:G414" si="40">D408*$B$400</f>
        <v>5.4857142857142853E-8</v>
      </c>
      <c r="H408" s="244"/>
      <c r="I408" s="202">
        <f t="shared" si="37"/>
        <v>2.0765957446808513E-7</v>
      </c>
      <c r="J408" s="249">
        <f t="shared" si="38"/>
        <v>9.0954893617021285E-7</v>
      </c>
      <c r="K408" s="250">
        <f t="shared" si="39"/>
        <v>9.0954893617021285E-7</v>
      </c>
    </row>
    <row r="409" spans="1:18" hidden="1" x14ac:dyDescent="0.2">
      <c r="A409" s="969"/>
      <c r="B409" s="248" t="s">
        <v>116</v>
      </c>
      <c r="C409" s="202">
        <v>4.0099999999999997E-6</v>
      </c>
      <c r="D409" s="202">
        <v>1.7999999999999999E-6</v>
      </c>
      <c r="E409" s="202">
        <v>6.5E-8</v>
      </c>
      <c r="F409" s="244">
        <f>C409*$B$399</f>
        <v>6.8255319148936171E-7</v>
      </c>
      <c r="G409" s="244">
        <f t="shared" si="40"/>
        <v>4.114285714285714E-8</v>
      </c>
      <c r="H409" s="244"/>
      <c r="I409" s="202">
        <f t="shared" si="37"/>
        <v>6.8255319148936171E-7</v>
      </c>
      <c r="J409" s="249">
        <f t="shared" si="38"/>
        <v>2.9895829787234043E-6</v>
      </c>
      <c r="K409" s="250">
        <f t="shared" si="39"/>
        <v>2.9895829787234043E-6</v>
      </c>
    </row>
    <row r="410" spans="1:18" hidden="1" x14ac:dyDescent="0.2">
      <c r="A410" s="969"/>
      <c r="B410" s="248" t="s">
        <v>117</v>
      </c>
      <c r="C410" s="202">
        <v>2.0999999999999999E-3</v>
      </c>
      <c r="D410" s="202">
        <v>2.0999999999999999E-3</v>
      </c>
      <c r="E410" s="202">
        <v>4.1999999999999997E-3</v>
      </c>
      <c r="F410" s="244">
        <f>C410*$B$399</f>
        <v>3.574468085106383E-4</v>
      </c>
      <c r="G410" s="244">
        <f t="shared" si="40"/>
        <v>4.7999999999999994E-5</v>
      </c>
      <c r="H410" s="244"/>
      <c r="I410" s="202">
        <f t="shared" si="37"/>
        <v>3.574468085106383E-4</v>
      </c>
      <c r="J410" s="249">
        <f t="shared" si="38"/>
        <v>1.5656170212765958E-3</v>
      </c>
      <c r="K410" s="250">
        <f t="shared" si="39"/>
        <v>1.5656170212765958E-3</v>
      </c>
    </row>
    <row r="411" spans="1:18" hidden="1" x14ac:dyDescent="0.2">
      <c r="A411" s="969"/>
      <c r="B411" s="169" t="s">
        <v>118</v>
      </c>
      <c r="C411" s="202"/>
      <c r="D411" s="202">
        <v>1.1999999999999999E-6</v>
      </c>
      <c r="E411" s="202">
        <v>2.6000000000000001E-6</v>
      </c>
      <c r="F411" s="244"/>
      <c r="G411" s="244">
        <f t="shared" si="40"/>
        <v>2.7428571428571426E-8</v>
      </c>
      <c r="H411" s="244"/>
      <c r="I411" s="202">
        <f t="shared" si="37"/>
        <v>2.7428571428571426E-8</v>
      </c>
      <c r="J411" s="249">
        <f t="shared" si="38"/>
        <v>1.2013714285714284E-7</v>
      </c>
      <c r="K411" s="250">
        <f t="shared" si="39"/>
        <v>1.2013714285714284E-7</v>
      </c>
    </row>
    <row r="412" spans="1:18" hidden="1" x14ac:dyDescent="0.2">
      <c r="A412" s="969"/>
      <c r="B412" s="248" t="s">
        <v>119</v>
      </c>
      <c r="C412" s="202">
        <v>1.48E-6</v>
      </c>
      <c r="D412" s="202">
        <v>1.7999999999999999E-6</v>
      </c>
      <c r="E412" s="202">
        <v>9.9999999999999995E-8</v>
      </c>
      <c r="F412" s="244">
        <f>C412*$B$399</f>
        <v>2.5191489361702131E-7</v>
      </c>
      <c r="G412" s="244">
        <f t="shared" si="40"/>
        <v>4.114285714285714E-8</v>
      </c>
      <c r="H412" s="244"/>
      <c r="I412" s="202">
        <f t="shared" si="37"/>
        <v>2.5191489361702131E-7</v>
      </c>
      <c r="J412" s="249">
        <f t="shared" si="38"/>
        <v>1.1033872340425532E-6</v>
      </c>
      <c r="K412" s="250">
        <f t="shared" si="39"/>
        <v>1.1033872340425532E-6</v>
      </c>
    </row>
    <row r="413" spans="1:18" hidden="1" x14ac:dyDescent="0.2">
      <c r="A413" s="969"/>
      <c r="B413" s="248" t="s">
        <v>120</v>
      </c>
      <c r="C413" s="202">
        <v>2.26E-6</v>
      </c>
      <c r="D413" s="202">
        <v>1.1999999999999999E-6</v>
      </c>
      <c r="E413" s="202">
        <v>9.2999999999999999E-8</v>
      </c>
      <c r="F413" s="244">
        <f>C413*$B$399</f>
        <v>3.8468085106382985E-7</v>
      </c>
      <c r="G413" s="244">
        <f t="shared" si="40"/>
        <v>2.7428571428571426E-8</v>
      </c>
      <c r="H413" s="244"/>
      <c r="I413" s="202">
        <f t="shared" si="37"/>
        <v>3.8468085106382985E-7</v>
      </c>
      <c r="J413" s="249">
        <f t="shared" si="38"/>
        <v>1.6849021276595748E-6</v>
      </c>
      <c r="K413" s="250">
        <f t="shared" si="39"/>
        <v>1.6849021276595748E-6</v>
      </c>
    </row>
    <row r="414" spans="1:18" hidden="1" x14ac:dyDescent="0.2">
      <c r="A414" s="969"/>
      <c r="B414" s="248" t="s">
        <v>121</v>
      </c>
      <c r="C414" s="202">
        <v>1.48E-6</v>
      </c>
      <c r="D414" s="202">
        <v>1.7999999999999999E-6</v>
      </c>
      <c r="E414" s="202">
        <v>3.5999999999999998E-8</v>
      </c>
      <c r="F414" s="244">
        <f>C414*$B$399</f>
        <v>2.5191489361702131E-7</v>
      </c>
      <c r="G414" s="244">
        <f t="shared" si="40"/>
        <v>4.114285714285714E-8</v>
      </c>
      <c r="H414" s="244"/>
      <c r="I414" s="202">
        <f t="shared" si="37"/>
        <v>2.5191489361702131E-7</v>
      </c>
      <c r="J414" s="249">
        <f t="shared" si="38"/>
        <v>1.1033872340425532E-6</v>
      </c>
      <c r="K414" s="250">
        <f t="shared" si="39"/>
        <v>1.1033872340425532E-6</v>
      </c>
    </row>
    <row r="415" spans="1:18" hidden="1" x14ac:dyDescent="0.2">
      <c r="A415" s="969"/>
      <c r="B415" s="248" t="s">
        <v>174</v>
      </c>
      <c r="C415" s="202"/>
      <c r="D415" s="202"/>
      <c r="E415" s="202">
        <v>4.6999999999999997E-8</v>
      </c>
      <c r="F415" s="244"/>
      <c r="G415" s="244"/>
      <c r="H415" s="244"/>
      <c r="I415" s="202">
        <f t="shared" si="37"/>
        <v>0</v>
      </c>
      <c r="J415" s="249">
        <f t="shared" si="38"/>
        <v>0</v>
      </c>
      <c r="K415" s="250">
        <f t="shared" si="39"/>
        <v>0</v>
      </c>
    </row>
    <row r="416" spans="1:18" hidden="1" x14ac:dyDescent="0.2">
      <c r="A416" s="969"/>
      <c r="B416" s="248" t="s">
        <v>175</v>
      </c>
      <c r="C416" s="202"/>
      <c r="D416" s="202"/>
      <c r="E416" s="202">
        <v>4.5000000000000003E-5</v>
      </c>
      <c r="F416" s="244"/>
      <c r="G416" s="244"/>
      <c r="H416" s="244"/>
      <c r="I416" s="202">
        <f t="shared" si="37"/>
        <v>0</v>
      </c>
      <c r="J416" s="249">
        <f t="shared" si="38"/>
        <v>0</v>
      </c>
      <c r="K416" s="250">
        <f t="shared" si="39"/>
        <v>0</v>
      </c>
    </row>
    <row r="417" spans="1:11" hidden="1" x14ac:dyDescent="0.2">
      <c r="A417" s="969"/>
      <c r="B417" s="248" t="s">
        <v>176</v>
      </c>
      <c r="C417" s="202"/>
      <c r="D417" s="202"/>
      <c r="E417" s="202">
        <v>7.9000000000000001E-4</v>
      </c>
      <c r="F417" s="244"/>
      <c r="G417" s="244"/>
      <c r="H417" s="244"/>
      <c r="I417" s="202">
        <f t="shared" si="37"/>
        <v>0</v>
      </c>
      <c r="J417" s="249">
        <f t="shared" si="38"/>
        <v>0</v>
      </c>
      <c r="K417" s="250">
        <f t="shared" si="39"/>
        <v>0</v>
      </c>
    </row>
    <row r="418" spans="1:11" hidden="1" x14ac:dyDescent="0.2">
      <c r="A418" s="969"/>
      <c r="B418" s="248" t="s">
        <v>177</v>
      </c>
      <c r="C418" s="202"/>
      <c r="D418" s="202"/>
      <c r="E418" s="202">
        <v>3.3000000000000003E-5</v>
      </c>
      <c r="F418" s="244"/>
      <c r="G418" s="244"/>
      <c r="H418" s="244"/>
      <c r="I418" s="202">
        <f t="shared" si="37"/>
        <v>0</v>
      </c>
      <c r="J418" s="249">
        <f t="shared" si="38"/>
        <v>0</v>
      </c>
      <c r="K418" s="250">
        <f t="shared" si="39"/>
        <v>0</v>
      </c>
    </row>
    <row r="419" spans="1:11" hidden="1" x14ac:dyDescent="0.2">
      <c r="A419" s="969"/>
      <c r="B419" s="248" t="s">
        <v>178</v>
      </c>
      <c r="C419" s="202"/>
      <c r="D419" s="202"/>
      <c r="E419" s="202">
        <v>2.8E-5</v>
      </c>
      <c r="F419" s="244"/>
      <c r="G419" s="244"/>
      <c r="H419" s="244"/>
      <c r="I419" s="202">
        <f t="shared" si="37"/>
        <v>0</v>
      </c>
      <c r="J419" s="249">
        <f t="shared" si="38"/>
        <v>0</v>
      </c>
      <c r="K419" s="250">
        <f t="shared" si="39"/>
        <v>0</v>
      </c>
    </row>
    <row r="420" spans="1:11" hidden="1" x14ac:dyDescent="0.2">
      <c r="A420" s="969"/>
      <c r="B420" s="248" t="s">
        <v>122</v>
      </c>
      <c r="C420" s="202">
        <v>2.3800000000000001E-6</v>
      </c>
      <c r="D420" s="202">
        <v>1.7999999999999999E-6</v>
      </c>
      <c r="E420" s="202">
        <v>3.8E-3</v>
      </c>
      <c r="F420" s="244">
        <f>C420*$B$399</f>
        <v>4.051063829787235E-7</v>
      </c>
      <c r="G420" s="244">
        <f t="shared" ref="G420:G428" si="41">D420*$B$400</f>
        <v>4.114285714285714E-8</v>
      </c>
      <c r="H420" s="244"/>
      <c r="I420" s="202">
        <f t="shared" si="37"/>
        <v>4.051063829787235E-7</v>
      </c>
      <c r="J420" s="249">
        <f t="shared" si="38"/>
        <v>1.7743659574468088E-6</v>
      </c>
      <c r="K420" s="250">
        <f t="shared" si="39"/>
        <v>1.7743659574468088E-6</v>
      </c>
    </row>
    <row r="421" spans="1:11" hidden="1" x14ac:dyDescent="0.2">
      <c r="A421" s="969"/>
      <c r="B421" s="248" t="s">
        <v>123</v>
      </c>
      <c r="C421" s="202">
        <v>1.6700000000000001E-6</v>
      </c>
      <c r="D421" s="202">
        <v>1.1999999999999999E-6</v>
      </c>
      <c r="E421" s="202">
        <v>9.1000000000000004E-9</v>
      </c>
      <c r="F421" s="244">
        <f>C421*$B$399</f>
        <v>2.8425531914893623E-7</v>
      </c>
      <c r="G421" s="244">
        <f t="shared" si="41"/>
        <v>2.7428571428571426E-8</v>
      </c>
      <c r="H421" s="244"/>
      <c r="I421" s="202">
        <f t="shared" si="37"/>
        <v>2.8425531914893623E-7</v>
      </c>
      <c r="J421" s="249">
        <f t="shared" si="38"/>
        <v>1.2450382978723407E-6</v>
      </c>
      <c r="K421" s="250">
        <f t="shared" si="39"/>
        <v>1.2450382978723407E-6</v>
      </c>
    </row>
    <row r="422" spans="1:11" hidden="1" x14ac:dyDescent="0.2">
      <c r="A422" s="969"/>
      <c r="B422" s="248" t="s">
        <v>124</v>
      </c>
      <c r="C422" s="202"/>
      <c r="D422" s="179">
        <v>1.1999999999999999E-3</v>
      </c>
      <c r="E422" s="202"/>
      <c r="F422" s="244"/>
      <c r="G422" s="244">
        <f t="shared" si="41"/>
        <v>2.7428571428571425E-5</v>
      </c>
      <c r="H422" s="244"/>
      <c r="I422" s="202">
        <f t="shared" si="37"/>
        <v>2.7428571428571425E-5</v>
      </c>
      <c r="J422" s="249">
        <f t="shared" si="38"/>
        <v>1.2013714285714284E-4</v>
      </c>
      <c r="K422" s="250">
        <f t="shared" si="39"/>
        <v>1.2013714285714284E-4</v>
      </c>
    </row>
    <row r="423" spans="1:11" hidden="1" x14ac:dyDescent="0.2">
      <c r="A423" s="969"/>
      <c r="B423" s="248" t="s">
        <v>179</v>
      </c>
      <c r="C423" s="202"/>
      <c r="D423" s="202"/>
      <c r="E423" s="202">
        <v>1.8E-7</v>
      </c>
      <c r="F423" s="244"/>
      <c r="G423" s="244">
        <f t="shared" si="41"/>
        <v>0</v>
      </c>
      <c r="H423" s="244"/>
      <c r="I423" s="202">
        <f t="shared" si="37"/>
        <v>0</v>
      </c>
      <c r="J423" s="249">
        <f t="shared" si="38"/>
        <v>0</v>
      </c>
      <c r="K423" s="250">
        <f t="shared" si="39"/>
        <v>0</v>
      </c>
    </row>
    <row r="424" spans="1:11" hidden="1" x14ac:dyDescent="0.2">
      <c r="A424" s="969"/>
      <c r="B424" s="248" t="s">
        <v>125</v>
      </c>
      <c r="C424" s="202">
        <v>6.3600000000000001E-5</v>
      </c>
      <c r="D424" s="202"/>
      <c r="E424" s="202">
        <v>3.1000000000000001E-5</v>
      </c>
      <c r="F424" s="244">
        <f>C424*$B$399</f>
        <v>1.0825531914893618E-5</v>
      </c>
      <c r="G424" s="244">
        <f t="shared" si="41"/>
        <v>0</v>
      </c>
      <c r="H424" s="244"/>
      <c r="I424" s="202">
        <f t="shared" si="37"/>
        <v>1.0825531914893618E-5</v>
      </c>
      <c r="J424" s="249">
        <f t="shared" si="38"/>
        <v>4.7415829787234048E-5</v>
      </c>
      <c r="K424" s="250">
        <f t="shared" si="39"/>
        <v>4.7415829787234048E-5</v>
      </c>
    </row>
    <row r="425" spans="1:11" hidden="1" x14ac:dyDescent="0.2">
      <c r="A425" s="969"/>
      <c r="B425" s="248" t="s">
        <v>126</v>
      </c>
      <c r="C425" s="202">
        <v>4.8400000000000002E-6</v>
      </c>
      <c r="D425" s="202">
        <v>3.0000000000000001E-6</v>
      </c>
      <c r="E425" s="202">
        <v>1.5999999999999999E-6</v>
      </c>
      <c r="F425" s="244">
        <f>C425*$B$399</f>
        <v>8.2382978723404273E-7</v>
      </c>
      <c r="G425" s="244">
        <f t="shared" si="41"/>
        <v>6.8571428571428573E-8</v>
      </c>
      <c r="H425" s="244"/>
      <c r="I425" s="202">
        <f t="shared" si="37"/>
        <v>8.2382978723404273E-7</v>
      </c>
      <c r="J425" s="249">
        <f t="shared" si="38"/>
        <v>3.6083744680851071E-6</v>
      </c>
      <c r="K425" s="250">
        <f t="shared" si="39"/>
        <v>3.6083744680851071E-6</v>
      </c>
    </row>
    <row r="426" spans="1:11" hidden="1" x14ac:dyDescent="0.2">
      <c r="A426" s="969"/>
      <c r="B426" s="248" t="s">
        <v>127</v>
      </c>
      <c r="C426" s="202">
        <v>4.4700000000000004E-6</v>
      </c>
      <c r="D426" s="202">
        <v>2.7999999999999999E-6</v>
      </c>
      <c r="E426" s="202">
        <v>3.4000000000000001E-6</v>
      </c>
      <c r="F426" s="244">
        <f>C426*$B$399</f>
        <v>7.6085106382978739E-7</v>
      </c>
      <c r="G426" s="244">
        <f t="shared" si="41"/>
        <v>6.3999999999999991E-8</v>
      </c>
      <c r="H426" s="244"/>
      <c r="I426" s="202">
        <f t="shared" si="37"/>
        <v>7.6085106382978739E-7</v>
      </c>
      <c r="J426" s="249">
        <f t="shared" si="38"/>
        <v>3.3325276595744687E-6</v>
      </c>
      <c r="K426" s="250">
        <f t="shared" si="39"/>
        <v>3.3325276595744687E-6</v>
      </c>
    </row>
    <row r="427" spans="1:11" hidden="1" x14ac:dyDescent="0.2">
      <c r="A427" s="969"/>
      <c r="B427" s="248" t="s">
        <v>128</v>
      </c>
      <c r="C427" s="202">
        <v>3.3000000000000002E-2</v>
      </c>
      <c r="D427" s="202">
        <v>7.4999999999999997E-2</v>
      </c>
      <c r="E427" s="202">
        <v>4.4000000000000003E-3</v>
      </c>
      <c r="F427" s="244">
        <f>C427*$B$399</f>
        <v>5.6170212765957461E-3</v>
      </c>
      <c r="G427" s="244">
        <f t="shared" si="41"/>
        <v>1.7142857142857142E-3</v>
      </c>
      <c r="H427" s="244"/>
      <c r="I427" s="202">
        <f t="shared" si="37"/>
        <v>5.6170212765957461E-3</v>
      </c>
      <c r="J427" s="249">
        <f t="shared" si="38"/>
        <v>2.4602553191489365E-2</v>
      </c>
      <c r="K427" s="250">
        <f t="shared" si="39"/>
        <v>2.4602553191489365E-2</v>
      </c>
    </row>
    <row r="428" spans="1:11" hidden="1" x14ac:dyDescent="0.2">
      <c r="A428" s="969"/>
      <c r="B428" s="248" t="s">
        <v>129</v>
      </c>
      <c r="C428" s="183">
        <v>1.8</v>
      </c>
      <c r="D428" s="202">
        <v>1.8</v>
      </c>
      <c r="E428" s="202"/>
      <c r="F428" s="244">
        <f>C428*$B$399</f>
        <v>0.30638297872340431</v>
      </c>
      <c r="G428" s="244">
        <f t="shared" si="41"/>
        <v>4.1142857142857141E-2</v>
      </c>
      <c r="H428" s="244"/>
      <c r="I428" s="202">
        <f t="shared" si="37"/>
        <v>0.30638297872340431</v>
      </c>
      <c r="J428" s="249">
        <f>I428*8760/2000</f>
        <v>1.3419574468085109</v>
      </c>
      <c r="K428" s="251">
        <f t="shared" si="39"/>
        <v>1.3419574468085109</v>
      </c>
    </row>
    <row r="429" spans="1:11" hidden="1" x14ac:dyDescent="0.2">
      <c r="A429" s="969"/>
      <c r="B429" s="248" t="s">
        <v>180</v>
      </c>
      <c r="C429" s="183"/>
      <c r="D429" s="202"/>
      <c r="E429" s="202">
        <v>1.9E-2</v>
      </c>
      <c r="F429" s="244"/>
      <c r="G429" s="244"/>
      <c r="H429" s="244"/>
      <c r="I429" s="202">
        <f t="shared" si="37"/>
        <v>0</v>
      </c>
      <c r="J429" s="249">
        <f t="shared" si="38"/>
        <v>0</v>
      </c>
      <c r="K429" s="250">
        <f t="shared" si="39"/>
        <v>0</v>
      </c>
    </row>
    <row r="430" spans="1:11" hidden="1" x14ac:dyDescent="0.2">
      <c r="A430" s="969"/>
      <c r="B430" s="248" t="s">
        <v>130</v>
      </c>
      <c r="C430" s="202">
        <v>2.1399999999999998E-6</v>
      </c>
      <c r="D430" s="202">
        <v>1.7999999999999999E-6</v>
      </c>
      <c r="E430" s="202">
        <v>8.6999999999999998E-8</v>
      </c>
      <c r="F430" s="244">
        <f>C430*$B$399</f>
        <v>3.6425531914893621E-7</v>
      </c>
      <c r="G430" s="244">
        <f>D430*$B$400</f>
        <v>4.114285714285714E-8</v>
      </c>
      <c r="H430" s="244"/>
      <c r="I430" s="202">
        <f t="shared" si="37"/>
        <v>3.6425531914893621E-7</v>
      </c>
      <c r="J430" s="249">
        <f t="shared" si="38"/>
        <v>1.5954382978723405E-6</v>
      </c>
      <c r="K430" s="250">
        <f t="shared" si="39"/>
        <v>1.5954382978723405E-6</v>
      </c>
    </row>
    <row r="431" spans="1:11" hidden="1" x14ac:dyDescent="0.2">
      <c r="A431" s="969"/>
      <c r="B431" s="248" t="s">
        <v>131</v>
      </c>
      <c r="C431" s="202">
        <v>1.1299999999999999E-3</v>
      </c>
      <c r="D431" s="202">
        <v>6.0999999999999997E-4</v>
      </c>
      <c r="E431" s="202">
        <v>9.7E-5</v>
      </c>
      <c r="F431" s="244">
        <f>C431*$B$399</f>
        <v>1.923404255319149E-4</v>
      </c>
      <c r="G431" s="244">
        <f>D431*$B$400</f>
        <v>1.3942857142857142E-5</v>
      </c>
      <c r="H431" s="244"/>
      <c r="I431" s="202">
        <f t="shared" si="37"/>
        <v>1.923404255319149E-4</v>
      </c>
      <c r="J431" s="249">
        <f t="shared" si="38"/>
        <v>8.424510638297873E-4</v>
      </c>
      <c r="K431" s="250">
        <f t="shared" si="39"/>
        <v>8.424510638297873E-4</v>
      </c>
    </row>
    <row r="432" spans="1:11" hidden="1" x14ac:dyDescent="0.2">
      <c r="A432" s="969"/>
      <c r="B432" s="248" t="s">
        <v>181</v>
      </c>
      <c r="C432" s="202"/>
      <c r="D432" s="202"/>
      <c r="E432" s="202">
        <v>1.1000000000000001E-7</v>
      </c>
      <c r="F432" s="244"/>
      <c r="G432" s="244"/>
      <c r="H432" s="244"/>
      <c r="I432" s="202">
        <f t="shared" si="37"/>
        <v>0</v>
      </c>
      <c r="J432" s="249">
        <f t="shared" si="38"/>
        <v>0</v>
      </c>
      <c r="K432" s="250">
        <f t="shared" si="39"/>
        <v>0</v>
      </c>
    </row>
    <row r="433" spans="1:15" hidden="1" x14ac:dyDescent="0.2">
      <c r="A433" s="969"/>
      <c r="B433" s="248" t="s">
        <v>182</v>
      </c>
      <c r="C433" s="202"/>
      <c r="D433" s="202"/>
      <c r="E433" s="202">
        <v>5.1E-8</v>
      </c>
      <c r="F433" s="244"/>
      <c r="G433" s="244"/>
      <c r="H433" s="244"/>
      <c r="I433" s="202">
        <f t="shared" si="37"/>
        <v>0</v>
      </c>
      <c r="J433" s="249">
        <f t="shared" si="38"/>
        <v>0</v>
      </c>
      <c r="K433" s="250">
        <f t="shared" si="39"/>
        <v>0</v>
      </c>
    </row>
    <row r="434" spans="1:15" hidden="1" x14ac:dyDescent="0.2">
      <c r="A434" s="969"/>
      <c r="B434" s="248" t="s">
        <v>132</v>
      </c>
      <c r="C434" s="202">
        <v>1.0499999999999999E-5</v>
      </c>
      <c r="D434" s="202">
        <v>1.7E-5</v>
      </c>
      <c r="E434" s="202">
        <v>6.9999999999999999E-6</v>
      </c>
      <c r="F434" s="244">
        <f>C434*$B$399</f>
        <v>1.7872340425531915E-6</v>
      </c>
      <c r="G434" s="244">
        <f>D434*$B$400</f>
        <v>3.8857142857142858E-7</v>
      </c>
      <c r="H434" s="244"/>
      <c r="I434" s="202">
        <f t="shared" si="37"/>
        <v>1.7872340425531915E-6</v>
      </c>
      <c r="J434" s="249">
        <f t="shared" si="38"/>
        <v>7.8280851063829788E-6</v>
      </c>
      <c r="K434" s="250">
        <f t="shared" si="39"/>
        <v>7.8280851063829788E-6</v>
      </c>
    </row>
    <row r="435" spans="1:15" hidden="1" x14ac:dyDescent="0.2">
      <c r="A435" s="969"/>
      <c r="B435" s="248" t="s">
        <v>183</v>
      </c>
      <c r="C435" s="202"/>
      <c r="D435" s="202"/>
      <c r="E435" s="202">
        <v>5.1E-5</v>
      </c>
      <c r="F435" s="244"/>
      <c r="G435" s="244"/>
      <c r="H435" s="244"/>
      <c r="I435" s="202">
        <f t="shared" si="37"/>
        <v>0</v>
      </c>
      <c r="J435" s="249">
        <f t="shared" si="38"/>
        <v>0</v>
      </c>
      <c r="K435" s="250">
        <f t="shared" si="39"/>
        <v>0</v>
      </c>
    </row>
    <row r="436" spans="1:15" hidden="1" x14ac:dyDescent="0.2">
      <c r="A436" s="969"/>
      <c r="B436" s="248" t="s">
        <v>133</v>
      </c>
      <c r="C436" s="202">
        <v>4.25E-6</v>
      </c>
      <c r="D436" s="202">
        <v>5.0000000000000004E-6</v>
      </c>
      <c r="E436" s="202">
        <v>3.7000000000000002E-6</v>
      </c>
      <c r="F436" s="244">
        <f>C436*$B$399</f>
        <v>7.23404255319149E-7</v>
      </c>
      <c r="G436" s="244">
        <f>D436*$B$400</f>
        <v>1.142857142857143E-7</v>
      </c>
      <c r="H436" s="244"/>
      <c r="I436" s="202">
        <f t="shared" si="37"/>
        <v>7.23404255319149E-7</v>
      </c>
      <c r="J436" s="249">
        <f t="shared" si="38"/>
        <v>3.1685106382978728E-6</v>
      </c>
      <c r="K436" s="250">
        <f t="shared" si="39"/>
        <v>3.1685106382978728E-6</v>
      </c>
    </row>
    <row r="437" spans="1:15" hidden="1" x14ac:dyDescent="0.2">
      <c r="A437" s="969"/>
      <c r="B437" s="248" t="s">
        <v>184</v>
      </c>
      <c r="C437" s="202"/>
      <c r="D437" s="202"/>
      <c r="E437" s="202">
        <v>1.9E-3</v>
      </c>
      <c r="F437" s="244"/>
      <c r="G437" s="244"/>
      <c r="H437" s="244"/>
      <c r="I437" s="202">
        <f t="shared" si="37"/>
        <v>0</v>
      </c>
      <c r="J437" s="249">
        <f t="shared" si="38"/>
        <v>0</v>
      </c>
      <c r="K437" s="250">
        <f t="shared" si="39"/>
        <v>0</v>
      </c>
    </row>
    <row r="438" spans="1:15" hidden="1" x14ac:dyDescent="0.2">
      <c r="A438" s="969"/>
      <c r="B438" s="248" t="s">
        <v>185</v>
      </c>
      <c r="C438" s="202"/>
      <c r="D438" s="202"/>
      <c r="E438" s="202">
        <v>8.5999999999999997E-12</v>
      </c>
      <c r="F438" s="244"/>
      <c r="G438" s="244"/>
      <c r="H438" s="244"/>
      <c r="I438" s="202">
        <f t="shared" si="37"/>
        <v>0</v>
      </c>
      <c r="J438" s="249">
        <f t="shared" si="38"/>
        <v>0</v>
      </c>
      <c r="K438" s="250">
        <f t="shared" si="39"/>
        <v>0</v>
      </c>
    </row>
    <row r="439" spans="1:15" hidden="1" x14ac:dyDescent="0.2">
      <c r="A439" s="969"/>
      <c r="B439" s="248" t="s">
        <v>134</v>
      </c>
      <c r="C439" s="202"/>
      <c r="D439" s="202">
        <v>3.3999999999999998E-3</v>
      </c>
      <c r="E439" s="202">
        <v>9.2000000000000003E-4</v>
      </c>
      <c r="F439" s="244"/>
      <c r="G439" s="244">
        <f>D439*$B$400</f>
        <v>7.7714285714285708E-5</v>
      </c>
      <c r="H439" s="244"/>
      <c r="I439" s="202">
        <f t="shared" si="37"/>
        <v>7.7714285714285708E-5</v>
      </c>
      <c r="J439" s="249">
        <f t="shared" si="38"/>
        <v>3.4038857142857135E-4</v>
      </c>
      <c r="K439" s="250">
        <f t="shared" si="39"/>
        <v>3.4038857142857135E-4</v>
      </c>
    </row>
    <row r="440" spans="1:15" hidden="1" x14ac:dyDescent="0.2">
      <c r="A440" s="969"/>
      <c r="B440" s="248" t="s">
        <v>186</v>
      </c>
      <c r="C440" s="202"/>
      <c r="D440" s="202"/>
      <c r="E440" s="202">
        <v>2.1999999999999998E-8</v>
      </c>
      <c r="F440" s="244"/>
      <c r="G440" s="244"/>
      <c r="H440" s="244"/>
      <c r="I440" s="202">
        <f t="shared" si="37"/>
        <v>0</v>
      </c>
      <c r="J440" s="249">
        <f t="shared" si="38"/>
        <v>0</v>
      </c>
      <c r="K440" s="250">
        <f t="shared" si="39"/>
        <v>0</v>
      </c>
    </row>
    <row r="441" spans="1:15" hidden="1" x14ac:dyDescent="0.2">
      <c r="A441" s="969"/>
      <c r="B441" s="248" t="s">
        <v>135</v>
      </c>
      <c r="C441" s="202">
        <v>1.0900000000000001E-4</v>
      </c>
      <c r="D441" s="202"/>
      <c r="E441" s="202">
        <v>2.5000000000000001E-5</v>
      </c>
      <c r="F441" s="244">
        <f>C441*$B$399</f>
        <v>1.8553191489361707E-5</v>
      </c>
      <c r="G441" s="244"/>
      <c r="H441" s="244"/>
      <c r="I441" s="202">
        <f t="shared" si="37"/>
        <v>1.8553191489361707E-5</v>
      </c>
      <c r="J441" s="249">
        <f t="shared" si="38"/>
        <v>8.1262978723404278E-5</v>
      </c>
      <c r="K441" s="250">
        <f t="shared" si="39"/>
        <v>8.1262978723404278E-5</v>
      </c>
    </row>
    <row r="442" spans="1:15" hidden="1" x14ac:dyDescent="0.2">
      <c r="A442" s="969"/>
      <c r="B442" s="252" t="s">
        <v>187</v>
      </c>
      <c r="C442" s="202"/>
      <c r="D442" s="202"/>
      <c r="E442" s="202">
        <v>1.8E-5</v>
      </c>
      <c r="F442" s="244"/>
      <c r="G442" s="244"/>
      <c r="H442" s="244"/>
      <c r="I442" s="202">
        <f t="shared" si="37"/>
        <v>0</v>
      </c>
      <c r="J442" s="249">
        <f t="shared" si="38"/>
        <v>0</v>
      </c>
      <c r="K442" s="250">
        <f t="shared" si="39"/>
        <v>0</v>
      </c>
    </row>
    <row r="443" spans="1:15" hidden="1" x14ac:dyDescent="0.2">
      <c r="A443" s="969"/>
      <c r="B443" s="248" t="s">
        <v>136</v>
      </c>
      <c r="C443" s="179"/>
      <c r="D443" s="179">
        <v>5.2500000000000003E-3</v>
      </c>
      <c r="E443" s="179"/>
      <c r="F443" s="244"/>
      <c r="G443" s="244">
        <f t="shared" ref="G443:G464" si="42">D443*$B$400</f>
        <v>1.2E-4</v>
      </c>
      <c r="H443" s="244"/>
      <c r="I443" s="202">
        <f t="shared" si="37"/>
        <v>1.2E-4</v>
      </c>
      <c r="J443" s="249">
        <f>I443*8760/2000</f>
        <v>5.2560000000000009E-4</v>
      </c>
      <c r="K443" s="250">
        <f>I443*8760/2000</f>
        <v>5.2560000000000009E-4</v>
      </c>
      <c r="M443" s="253"/>
      <c r="N443" s="253"/>
      <c r="O443" s="253"/>
    </row>
    <row r="444" spans="1:15" hidden="1" x14ac:dyDescent="0.2">
      <c r="A444" s="969"/>
      <c r="B444" s="248" t="s">
        <v>137</v>
      </c>
      <c r="C444" s="179">
        <v>1.7200000000000001E-4</v>
      </c>
      <c r="D444" s="249">
        <v>2.0000000000000001E-4</v>
      </c>
      <c r="E444" s="249">
        <v>2.1999999999999999E-5</v>
      </c>
      <c r="F444" s="244">
        <f t="shared" ref="F444:F464" si="43">C444*$B$399</f>
        <v>2.9276595744680857E-5</v>
      </c>
      <c r="G444" s="244">
        <f t="shared" si="42"/>
        <v>4.5714285714285719E-6</v>
      </c>
      <c r="H444" s="244"/>
      <c r="I444" s="202">
        <f t="shared" si="37"/>
        <v>2.9276595744680857E-5</v>
      </c>
      <c r="J444" s="246">
        <f>I444*8760/2000</f>
        <v>1.2823148936170215E-4</v>
      </c>
      <c r="K444" s="247">
        <f>I444*8760/2000</f>
        <v>1.2823148936170215E-4</v>
      </c>
      <c r="M444" s="253"/>
      <c r="N444" s="253"/>
      <c r="O444" s="253"/>
    </row>
    <row r="445" spans="1:15" hidden="1" x14ac:dyDescent="0.2">
      <c r="A445" s="969"/>
      <c r="B445" s="248" t="s">
        <v>138</v>
      </c>
      <c r="C445" s="179">
        <v>1.2899999999999999E-4</v>
      </c>
      <c r="D445" s="249">
        <v>1.2E-5</v>
      </c>
      <c r="E445" s="249">
        <v>1.1000000000000001E-6</v>
      </c>
      <c r="F445" s="244">
        <f t="shared" si="43"/>
        <v>2.1957446808510641E-5</v>
      </c>
      <c r="G445" s="244">
        <f t="shared" si="42"/>
        <v>2.7428571428571429E-7</v>
      </c>
      <c r="H445" s="244"/>
      <c r="I445" s="202">
        <f t="shared" si="37"/>
        <v>2.1957446808510641E-5</v>
      </c>
      <c r="J445" s="249">
        <f t="shared" ref="J445:J451" si="44">I445*8760/2000</f>
        <v>9.6173617021276604E-5</v>
      </c>
      <c r="K445" s="250">
        <f t="shared" ref="K445:K451" si="45">I445*8760/2000</f>
        <v>9.6173617021276604E-5</v>
      </c>
      <c r="M445" s="253"/>
      <c r="N445" s="253"/>
      <c r="O445" s="253"/>
    </row>
    <row r="446" spans="1:15" hidden="1" x14ac:dyDescent="0.2">
      <c r="A446" s="969"/>
      <c r="B446" s="248" t="s">
        <v>139</v>
      </c>
      <c r="C446" s="179">
        <v>1.2899999999999999E-4</v>
      </c>
      <c r="D446" s="249">
        <v>1.1000000000000001E-3</v>
      </c>
      <c r="E446" s="249">
        <v>4.0999999999999997E-6</v>
      </c>
      <c r="F446" s="244">
        <f t="shared" si="43"/>
        <v>2.1957446808510641E-5</v>
      </c>
      <c r="G446" s="244">
        <f t="shared" si="42"/>
        <v>2.5142857142857143E-5</v>
      </c>
      <c r="H446" s="244"/>
      <c r="I446" s="202">
        <f t="shared" si="37"/>
        <v>2.5142857142857143E-5</v>
      </c>
      <c r="J446" s="249">
        <f t="shared" si="44"/>
        <v>1.1012571428571428E-4</v>
      </c>
      <c r="K446" s="250">
        <f t="shared" si="45"/>
        <v>1.1012571428571428E-4</v>
      </c>
      <c r="M446" s="253"/>
      <c r="N446" s="253"/>
      <c r="O446" s="253"/>
    </row>
    <row r="447" spans="1:15" hidden="1" x14ac:dyDescent="0.2">
      <c r="A447" s="969"/>
      <c r="B447" s="248" t="s">
        <v>140</v>
      </c>
      <c r="C447" s="179">
        <v>1.2899999999999999E-4</v>
      </c>
      <c r="D447" s="249">
        <v>1.4E-3</v>
      </c>
      <c r="E447" s="249">
        <v>2.0999999999999999E-5</v>
      </c>
      <c r="F447" s="244">
        <f t="shared" si="43"/>
        <v>2.1957446808510641E-5</v>
      </c>
      <c r="G447" s="244">
        <f t="shared" si="42"/>
        <v>3.1999999999999999E-5</v>
      </c>
      <c r="H447" s="244"/>
      <c r="I447" s="202">
        <f t="shared" si="37"/>
        <v>3.1999999999999999E-5</v>
      </c>
      <c r="J447" s="249">
        <f t="shared" si="44"/>
        <v>1.4016000000000001E-4</v>
      </c>
      <c r="K447" s="250">
        <f t="shared" si="45"/>
        <v>1.4016000000000001E-4</v>
      </c>
      <c r="M447" s="253"/>
      <c r="N447" s="253"/>
      <c r="O447" s="253"/>
    </row>
    <row r="448" spans="1:15" hidden="1" x14ac:dyDescent="0.2">
      <c r="A448" s="969"/>
      <c r="B448" s="248" t="s">
        <v>141</v>
      </c>
      <c r="C448" s="179">
        <v>1.2899999999999999E-4</v>
      </c>
      <c r="D448" s="249">
        <v>8.3999999999999995E-5</v>
      </c>
      <c r="E448" s="249">
        <v>6.4999999999999996E-6</v>
      </c>
      <c r="F448" s="244">
        <f t="shared" si="43"/>
        <v>2.1957446808510641E-5</v>
      </c>
      <c r="G448" s="244">
        <f t="shared" si="42"/>
        <v>1.9199999999999998E-6</v>
      </c>
      <c r="H448" s="244"/>
      <c r="I448" s="202">
        <f t="shared" si="37"/>
        <v>2.1957446808510641E-5</v>
      </c>
      <c r="J448" s="249">
        <f t="shared" si="44"/>
        <v>9.6173617021276604E-5</v>
      </c>
      <c r="K448" s="250">
        <f t="shared" si="45"/>
        <v>9.6173617021276604E-5</v>
      </c>
      <c r="M448" s="253"/>
      <c r="N448" s="253"/>
      <c r="O448" s="253"/>
    </row>
    <row r="449" spans="1:18" hidden="1" x14ac:dyDescent="0.2">
      <c r="A449" s="969"/>
      <c r="B449" s="248" t="s">
        <v>142</v>
      </c>
      <c r="C449" s="179">
        <v>2.5799999999999998E-4</v>
      </c>
      <c r="D449" s="179">
        <v>3.8000000000000002E-4</v>
      </c>
      <c r="E449" s="179">
        <v>1.6000000000000001E-3</v>
      </c>
      <c r="F449" s="244">
        <f t="shared" si="43"/>
        <v>4.3914893617021282E-5</v>
      </c>
      <c r="G449" s="244">
        <f t="shared" si="42"/>
        <v>8.6857142857142865E-6</v>
      </c>
      <c r="H449" s="244"/>
      <c r="I449" s="202">
        <f t="shared" si="37"/>
        <v>4.3914893617021282E-5</v>
      </c>
      <c r="J449" s="249">
        <f t="shared" si="44"/>
        <v>1.9234723404255321E-4</v>
      </c>
      <c r="K449" s="250">
        <f t="shared" si="45"/>
        <v>1.9234723404255321E-4</v>
      </c>
      <c r="M449" s="228"/>
      <c r="N449" s="253"/>
      <c r="O449" s="253"/>
    </row>
    <row r="450" spans="1:18" hidden="1" x14ac:dyDescent="0.2">
      <c r="A450" s="969"/>
      <c r="B450" s="248" t="s">
        <v>143</v>
      </c>
      <c r="C450" s="183">
        <v>1.2899999999999999E-4</v>
      </c>
      <c r="D450" s="211">
        <v>2.5999999999999998E-4</v>
      </c>
      <c r="E450" s="211">
        <v>3.4999999999999999E-6</v>
      </c>
      <c r="F450" s="245">
        <f t="shared" si="43"/>
        <v>2.1957446808510641E-5</v>
      </c>
      <c r="G450" s="245">
        <f t="shared" si="42"/>
        <v>5.9428571428571423E-6</v>
      </c>
      <c r="H450" s="245"/>
      <c r="I450" s="205">
        <f t="shared" si="37"/>
        <v>2.1957446808510641E-5</v>
      </c>
      <c r="J450" s="211">
        <f t="shared" si="44"/>
        <v>9.6173617021276604E-5</v>
      </c>
      <c r="K450" s="254">
        <f t="shared" si="45"/>
        <v>9.6173617021276604E-5</v>
      </c>
      <c r="L450" s="228"/>
      <c r="M450" s="255"/>
      <c r="N450" s="229"/>
      <c r="O450" s="229"/>
      <c r="P450" s="228"/>
      <c r="Q450" s="228"/>
      <c r="R450" s="228"/>
    </row>
    <row r="451" spans="1:18" hidden="1" x14ac:dyDescent="0.2">
      <c r="A451" s="969"/>
      <c r="B451" s="248" t="s">
        <v>144</v>
      </c>
      <c r="C451" s="179">
        <v>1.2899999999999999E-4</v>
      </c>
      <c r="D451" s="179">
        <v>2.0999999999999999E-3</v>
      </c>
      <c r="E451" s="179">
        <v>3.3000000000000003E-5</v>
      </c>
      <c r="F451" s="244">
        <f t="shared" si="43"/>
        <v>2.1957446808510641E-5</v>
      </c>
      <c r="G451" s="244">
        <f t="shared" si="42"/>
        <v>4.7999999999999994E-5</v>
      </c>
      <c r="H451" s="244"/>
      <c r="I451" s="202">
        <f t="shared" si="37"/>
        <v>4.7999999999999994E-5</v>
      </c>
      <c r="J451" s="249">
        <f t="shared" si="44"/>
        <v>2.1023999999999999E-4</v>
      </c>
      <c r="K451" s="250">
        <f t="shared" si="45"/>
        <v>2.1023999999999999E-4</v>
      </c>
      <c r="M451" s="253"/>
      <c r="N451" s="253"/>
      <c r="O451" s="253"/>
    </row>
    <row r="452" spans="1:18" hidden="1" x14ac:dyDescent="0.2">
      <c r="A452" s="969"/>
      <c r="B452" s="248" t="s">
        <v>145</v>
      </c>
      <c r="C452" s="179">
        <v>6.4499999999999996E-4</v>
      </c>
      <c r="D452" s="179">
        <v>2.4000000000000001E-5</v>
      </c>
      <c r="E452" s="179">
        <v>2.7999999999999999E-6</v>
      </c>
      <c r="F452" s="244">
        <f t="shared" si="43"/>
        <v>1.097872340425532E-4</v>
      </c>
      <c r="G452" s="244">
        <f t="shared" si="42"/>
        <v>5.4857142857142858E-7</v>
      </c>
      <c r="H452" s="244"/>
      <c r="I452" s="202">
        <f t="shared" si="37"/>
        <v>1.097872340425532E-4</v>
      </c>
      <c r="J452" s="249">
        <f>I452*8760/2000</f>
        <v>4.8086808510638301E-4</v>
      </c>
      <c r="K452" s="250">
        <f>I452*8760/2000</f>
        <v>4.8086808510638301E-4</v>
      </c>
      <c r="M452" s="253"/>
      <c r="N452" s="253"/>
      <c r="O452" s="253"/>
      <c r="P452" s="227" t="s">
        <v>197</v>
      </c>
      <c r="Q452" s="227"/>
      <c r="R452" s="227"/>
    </row>
    <row r="453" spans="1:18" hidden="1" x14ac:dyDescent="0.2">
      <c r="A453" s="969"/>
      <c r="B453" s="256" t="s">
        <v>146</v>
      </c>
      <c r="C453" s="179"/>
      <c r="D453" s="179"/>
      <c r="E453" s="179"/>
      <c r="F453" s="244"/>
      <c r="G453" s="244"/>
      <c r="H453" s="244"/>
      <c r="I453" s="207">
        <f>SUM(I403:I452)</f>
        <v>0.31316889237689965</v>
      </c>
      <c r="J453" s="207">
        <f>SUM(J403:J452)</f>
        <v>1.3716797486108212</v>
      </c>
      <c r="K453" s="257">
        <f>SUM(K403:K452)</f>
        <v>1.3716797486108212</v>
      </c>
      <c r="M453" s="253">
        <f t="shared" ref="M453:M466" si="46">SUM(K453+I111)</f>
        <v>1.4121680606696447</v>
      </c>
      <c r="N453" s="253"/>
      <c r="O453" s="253"/>
      <c r="P453" s="227" t="s">
        <v>198</v>
      </c>
      <c r="Q453" s="227" t="s">
        <v>199</v>
      </c>
      <c r="R453" s="227" t="s">
        <v>200</v>
      </c>
    </row>
    <row r="454" spans="1:18" hidden="1" x14ac:dyDescent="0.2">
      <c r="A454" s="969"/>
      <c r="B454" s="256" t="s">
        <v>147</v>
      </c>
      <c r="C454" s="179">
        <v>1.5200000000000001E-3</v>
      </c>
      <c r="D454" s="179">
        <v>5.0000000000000001E-4</v>
      </c>
      <c r="E454" s="179">
        <v>4.8000000000000001E-5</v>
      </c>
      <c r="F454" s="244">
        <f t="shared" si="43"/>
        <v>2.587234042553192E-4</v>
      </c>
      <c r="G454" s="244">
        <f t="shared" si="42"/>
        <v>1.1428571428571429E-5</v>
      </c>
      <c r="H454" s="244"/>
      <c r="I454" s="202">
        <f t="shared" si="37"/>
        <v>2.587234042553192E-4</v>
      </c>
      <c r="J454" s="207">
        <f>I454*8760/2000</f>
        <v>1.1332085106382981E-3</v>
      </c>
      <c r="K454" s="258">
        <f>I454*8760/2000</f>
        <v>1.1332085106382981E-3</v>
      </c>
      <c r="M454" s="253">
        <f t="shared" si="46"/>
        <v>1.1439438047559452E-3</v>
      </c>
      <c r="N454" s="253"/>
      <c r="O454" s="253"/>
      <c r="P454" s="259">
        <f>G454*4.38</f>
        <v>5.0057142857142855E-5</v>
      </c>
      <c r="Q454" s="259">
        <f>P454*2</f>
        <v>1.0011428571428571E-4</v>
      </c>
      <c r="R454" s="259">
        <f>Q454/4.38</f>
        <v>2.2857142857142858E-5</v>
      </c>
    </row>
    <row r="455" spans="1:18" hidden="1" x14ac:dyDescent="0.2">
      <c r="A455" s="969"/>
      <c r="B455" s="256" t="s">
        <v>148</v>
      </c>
      <c r="C455" s="179">
        <v>2</v>
      </c>
      <c r="D455" s="179">
        <v>7.6</v>
      </c>
      <c r="E455" s="179">
        <v>0.4</v>
      </c>
      <c r="F455" s="244">
        <f t="shared" si="43"/>
        <v>0.34042553191489366</v>
      </c>
      <c r="G455" s="244">
        <f t="shared" si="42"/>
        <v>0.17371428571428571</v>
      </c>
      <c r="H455" s="244"/>
      <c r="I455" s="202">
        <f t="shared" si="37"/>
        <v>0.34042553191489366</v>
      </c>
      <c r="J455" s="207">
        <f>I455*8760/2000</f>
        <v>1.4910638297872343</v>
      </c>
      <c r="K455" s="258">
        <f>I455*8760/2000</f>
        <v>1.4910638297872343</v>
      </c>
      <c r="M455" s="253">
        <f t="shared" si="46"/>
        <v>2.0072596799354434</v>
      </c>
      <c r="N455" s="253"/>
      <c r="O455" s="253"/>
      <c r="P455" s="260">
        <f t="shared" ref="P455:P466" si="47">G455*4.38</f>
        <v>0.76086857142857134</v>
      </c>
      <c r="Q455" s="260">
        <f t="shared" ref="Q455:Q466" si="48">P455*2</f>
        <v>1.5217371428571427</v>
      </c>
      <c r="R455" s="260">
        <f t="shared" ref="R455:R466" si="49">Q455/4.38</f>
        <v>0.34742857142857142</v>
      </c>
    </row>
    <row r="456" spans="1:18" hidden="1" x14ac:dyDescent="0.2">
      <c r="A456" s="969"/>
      <c r="B456" s="256" t="s">
        <v>149</v>
      </c>
      <c r="C456" s="179">
        <v>2</v>
      </c>
      <c r="D456" s="179">
        <v>7.6</v>
      </c>
      <c r="E456" s="179">
        <v>0.5</v>
      </c>
      <c r="F456" s="244">
        <f t="shared" si="43"/>
        <v>0.34042553191489366</v>
      </c>
      <c r="G456" s="244">
        <f t="shared" si="42"/>
        <v>0.17371428571428571</v>
      </c>
      <c r="H456" s="244"/>
      <c r="I456" s="202">
        <f t="shared" si="37"/>
        <v>0.34042553191489366</v>
      </c>
      <c r="J456" s="207">
        <f>I456*8760/2000</f>
        <v>1.4910638297872343</v>
      </c>
      <c r="K456" s="258">
        <f>I456*8760/2000</f>
        <v>1.4910638297872343</v>
      </c>
      <c r="M456" s="253">
        <f t="shared" si="46"/>
        <v>1.8508366950420467</v>
      </c>
      <c r="N456" s="253"/>
      <c r="O456" s="253"/>
      <c r="P456" s="260">
        <f t="shared" si="47"/>
        <v>0.76086857142857134</v>
      </c>
      <c r="Q456" s="260">
        <f t="shared" si="48"/>
        <v>1.5217371428571427</v>
      </c>
      <c r="R456" s="260">
        <f t="shared" si="49"/>
        <v>0.34742857142857142</v>
      </c>
    </row>
    <row r="457" spans="1:18" hidden="1" x14ac:dyDescent="0.2">
      <c r="A457" s="969"/>
      <c r="B457" s="256" t="s">
        <v>150</v>
      </c>
      <c r="C457" s="179">
        <v>2</v>
      </c>
      <c r="D457" s="179">
        <v>7.6</v>
      </c>
      <c r="E457" s="179">
        <v>0.5</v>
      </c>
      <c r="F457" s="244">
        <f t="shared" si="43"/>
        <v>0.34042553191489366</v>
      </c>
      <c r="G457" s="244">
        <f t="shared" si="42"/>
        <v>0.17371428571428571</v>
      </c>
      <c r="H457" s="244"/>
      <c r="I457" s="202">
        <f t="shared" si="37"/>
        <v>0.34042553191489366</v>
      </c>
      <c r="J457" s="207">
        <f t="shared" ref="J457:J464" si="50">I457*8760/2000</f>
        <v>1.4910638297872343</v>
      </c>
      <c r="K457" s="258">
        <f t="shared" ref="K457:K464" si="51">I457*8760/2000</f>
        <v>1.4910638297872343</v>
      </c>
      <c r="M457" s="253">
        <f t="shared" si="46"/>
        <v>1.7335194563719991</v>
      </c>
      <c r="N457" s="253"/>
      <c r="O457" s="253"/>
      <c r="P457" s="260">
        <f t="shared" si="47"/>
        <v>0.76086857142857134</v>
      </c>
      <c r="Q457" s="260">
        <f t="shared" si="48"/>
        <v>1.5217371428571427</v>
      </c>
      <c r="R457" s="260">
        <f t="shared" si="49"/>
        <v>0.34742857142857142</v>
      </c>
    </row>
    <row r="458" spans="1:18" hidden="1" x14ac:dyDescent="0.2">
      <c r="A458" s="969"/>
      <c r="B458" s="256" t="s">
        <v>151</v>
      </c>
      <c r="C458" s="179">
        <v>78.5</v>
      </c>
      <c r="D458" s="179">
        <v>0.6</v>
      </c>
      <c r="E458" s="179">
        <v>2</v>
      </c>
      <c r="F458" s="261">
        <f t="shared" si="43"/>
        <v>13.361702127659576</v>
      </c>
      <c r="G458" s="261">
        <f t="shared" si="42"/>
        <v>1.3714285714285714E-2</v>
      </c>
      <c r="H458" s="261"/>
      <c r="I458" s="262">
        <f t="shared" si="37"/>
        <v>13.361702127659576</v>
      </c>
      <c r="J458" s="263">
        <f t="shared" si="50"/>
        <v>58.524255319148942</v>
      </c>
      <c r="K458" s="258">
        <f t="shared" si="51"/>
        <v>58.524255319148942</v>
      </c>
      <c r="M458" s="253">
        <f t="shared" si="46"/>
        <v>69.63028724658011</v>
      </c>
      <c r="N458" s="253"/>
      <c r="O458" s="253"/>
      <c r="P458" s="260">
        <f t="shared" si="47"/>
        <v>6.0068571428571423E-2</v>
      </c>
      <c r="Q458" s="260">
        <f t="shared" si="48"/>
        <v>0.12013714285714285</v>
      </c>
      <c r="R458" s="260">
        <f t="shared" si="49"/>
        <v>2.7428571428571427E-2</v>
      </c>
    </row>
    <row r="459" spans="1:18" hidden="1" x14ac:dyDescent="0.2">
      <c r="A459" s="969"/>
      <c r="B459" s="256" t="s">
        <v>152</v>
      </c>
      <c r="C459" s="179">
        <v>20</v>
      </c>
      <c r="D459" s="179">
        <v>100</v>
      </c>
      <c r="E459" s="179">
        <v>0.22</v>
      </c>
      <c r="F459" s="244">
        <f t="shared" si="43"/>
        <v>3.4042553191489366</v>
      </c>
      <c r="G459" s="244">
        <f t="shared" si="42"/>
        <v>2.2857142857142856</v>
      </c>
      <c r="H459" s="244"/>
      <c r="I459" s="202">
        <f t="shared" si="37"/>
        <v>3.4042553191489366</v>
      </c>
      <c r="J459" s="207">
        <f t="shared" si="50"/>
        <v>14.910638297872342</v>
      </c>
      <c r="K459" s="258">
        <f t="shared" si="51"/>
        <v>14.910638297872342</v>
      </c>
      <c r="M459" s="253">
        <f t="shared" si="46"/>
        <v>18.039097995740278</v>
      </c>
      <c r="N459" s="253"/>
      <c r="O459" s="253"/>
      <c r="P459" s="260">
        <f t="shared" si="47"/>
        <v>10.011428571428571</v>
      </c>
      <c r="Q459" s="260">
        <f t="shared" si="48"/>
        <v>20.022857142857141</v>
      </c>
      <c r="R459" s="260">
        <f t="shared" si="49"/>
        <v>4.5714285714285712</v>
      </c>
    </row>
    <row r="460" spans="1:18" hidden="1" x14ac:dyDescent="0.2">
      <c r="A460" s="969"/>
      <c r="B460" s="256" t="s">
        <v>188</v>
      </c>
      <c r="C460" s="179">
        <v>0.34</v>
      </c>
      <c r="D460" s="179">
        <v>5.5</v>
      </c>
      <c r="E460" s="179">
        <v>1.7000000000000001E-2</v>
      </c>
      <c r="F460" s="244">
        <f t="shared" si="43"/>
        <v>5.787234042553193E-2</v>
      </c>
      <c r="G460" s="244">
        <f t="shared" si="42"/>
        <v>0.12571428571428572</v>
      </c>
      <c r="H460" s="244"/>
      <c r="I460" s="202">
        <f t="shared" si="37"/>
        <v>0.12571428571428572</v>
      </c>
      <c r="J460" s="207">
        <f t="shared" si="50"/>
        <v>0.55062857142857147</v>
      </c>
      <c r="K460" s="258">
        <f t="shared" si="51"/>
        <v>0.55062857142857147</v>
      </c>
      <c r="M460" s="253">
        <f t="shared" si="46"/>
        <v>0.66871680672268907</v>
      </c>
      <c r="N460" s="253"/>
      <c r="O460" s="253"/>
      <c r="P460" s="260">
        <f t="shared" si="47"/>
        <v>0.55062857142857147</v>
      </c>
      <c r="Q460" s="260">
        <f t="shared" si="48"/>
        <v>1.1012571428571429</v>
      </c>
      <c r="R460" s="260">
        <f t="shared" si="49"/>
        <v>0.25142857142857145</v>
      </c>
    </row>
    <row r="461" spans="1:18" ht="13.5" hidden="1" thickBot="1" x14ac:dyDescent="0.25">
      <c r="A461" s="969"/>
      <c r="B461" s="264" t="s">
        <v>189</v>
      </c>
      <c r="C461" s="265">
        <v>5</v>
      </c>
      <c r="D461" s="266">
        <v>84</v>
      </c>
      <c r="E461" s="266">
        <v>0.6</v>
      </c>
      <c r="F461" s="267">
        <f t="shared" si="43"/>
        <v>0.85106382978723416</v>
      </c>
      <c r="G461" s="267">
        <f t="shared" si="42"/>
        <v>1.92</v>
      </c>
      <c r="H461" s="267"/>
      <c r="I461" s="267">
        <f>MAX(F461:H461)</f>
        <v>1.92</v>
      </c>
      <c r="J461" s="268">
        <f t="shared" si="50"/>
        <v>8.4096000000000011</v>
      </c>
      <c r="K461" s="269">
        <f>I461*8760/2000</f>
        <v>8.4096000000000011</v>
      </c>
      <c r="M461" s="253">
        <f t="shared" si="46"/>
        <v>10.213129411764706</v>
      </c>
      <c r="N461" s="260"/>
      <c r="O461" s="260"/>
      <c r="P461" s="260">
        <f t="shared" si="47"/>
        <v>8.4095999999999993</v>
      </c>
      <c r="Q461" s="260">
        <f t="shared" si="48"/>
        <v>16.819199999999999</v>
      </c>
      <c r="R461" s="260">
        <f t="shared" si="49"/>
        <v>3.84</v>
      </c>
    </row>
    <row r="462" spans="1:18" hidden="1" x14ac:dyDescent="0.2">
      <c r="A462" s="969"/>
      <c r="B462" s="270" t="s">
        <v>155</v>
      </c>
      <c r="C462" s="271">
        <v>22300</v>
      </c>
      <c r="D462" s="271">
        <v>120000</v>
      </c>
      <c r="E462" s="271">
        <v>195</v>
      </c>
      <c r="F462" s="272">
        <f t="shared" si="43"/>
        <v>3795.7446808510645</v>
      </c>
      <c r="G462" s="272">
        <f t="shared" si="42"/>
        <v>2742.8571428571427</v>
      </c>
      <c r="H462" s="272"/>
      <c r="I462" s="272">
        <f>MAX(F462:H462)</f>
        <v>3795.7446808510645</v>
      </c>
      <c r="J462" s="273">
        <f>I462*8760/2000</f>
        <v>16625.361702127662</v>
      </c>
      <c r="K462" s="274">
        <f>I462*8760/2000</f>
        <v>16625.361702127662</v>
      </c>
      <c r="L462" s="209"/>
      <c r="M462" s="253">
        <f t="shared" si="46"/>
        <v>20113.594265250409</v>
      </c>
      <c r="N462" s="209"/>
      <c r="P462" s="260">
        <f t="shared" si="47"/>
        <v>12013.714285714284</v>
      </c>
      <c r="Q462" s="260">
        <f t="shared" si="48"/>
        <v>24027.428571428569</v>
      </c>
      <c r="R462" s="260">
        <f t="shared" si="49"/>
        <v>5485.7142857142853</v>
      </c>
    </row>
    <row r="463" spans="1:18" hidden="1" x14ac:dyDescent="0.2">
      <c r="A463" s="969"/>
      <c r="B463" s="275" t="s">
        <v>156</v>
      </c>
      <c r="C463" s="179">
        <v>5.1999999999999998E-2</v>
      </c>
      <c r="D463" s="179">
        <v>2.2999999999999998</v>
      </c>
      <c r="E463" s="179">
        <v>2.1000000000000001E-2</v>
      </c>
      <c r="F463" s="202">
        <f t="shared" si="43"/>
        <v>8.8510638297872347E-3</v>
      </c>
      <c r="G463" s="202">
        <f t="shared" si="42"/>
        <v>5.2571428571428568E-2</v>
      </c>
      <c r="H463" s="202"/>
      <c r="I463" s="202">
        <f t="shared" si="37"/>
        <v>5.2571428571428568E-2</v>
      </c>
      <c r="J463" s="276">
        <f t="shared" si="50"/>
        <v>0.2302628571428571</v>
      </c>
      <c r="K463" s="277">
        <f t="shared" si="51"/>
        <v>0.2302628571428571</v>
      </c>
      <c r="L463" s="209"/>
      <c r="M463" s="253">
        <f t="shared" si="46"/>
        <v>0.27964521008403354</v>
      </c>
      <c r="N463" s="209"/>
      <c r="P463" s="260">
        <f t="shared" si="47"/>
        <v>0.23026285714285713</v>
      </c>
      <c r="Q463" s="260">
        <f t="shared" si="48"/>
        <v>0.46052571428571426</v>
      </c>
      <c r="R463" s="260">
        <f t="shared" si="49"/>
        <v>0.10514285714285714</v>
      </c>
    </row>
    <row r="464" spans="1:18" hidden="1" x14ac:dyDescent="0.2">
      <c r="A464" s="969"/>
      <c r="B464" s="275" t="s">
        <v>157</v>
      </c>
      <c r="C464" s="179">
        <v>0.26</v>
      </c>
      <c r="D464" s="179">
        <v>2.2000000000000002</v>
      </c>
      <c r="E464" s="179">
        <v>1.2999999999999999E-2</v>
      </c>
      <c r="F464" s="202">
        <f t="shared" si="43"/>
        <v>4.4255319148936177E-2</v>
      </c>
      <c r="G464" s="202">
        <f t="shared" si="42"/>
        <v>5.0285714285714288E-2</v>
      </c>
      <c r="H464" s="202"/>
      <c r="I464" s="202">
        <f t="shared" si="37"/>
        <v>5.0285714285714288E-2</v>
      </c>
      <c r="J464" s="276">
        <f t="shared" si="50"/>
        <v>0.2202514285714286</v>
      </c>
      <c r="K464" s="277">
        <f t="shared" si="51"/>
        <v>0.2202514285714286</v>
      </c>
      <c r="L464" s="209"/>
      <c r="M464" s="253">
        <f t="shared" si="46"/>
        <v>0.26748672268907564</v>
      </c>
      <c r="N464" s="209"/>
      <c r="P464" s="260">
        <f t="shared" si="47"/>
        <v>0.22025142857142857</v>
      </c>
      <c r="Q464" s="260">
        <f t="shared" si="48"/>
        <v>0.44050285714285714</v>
      </c>
      <c r="R464" s="260">
        <f t="shared" si="49"/>
        <v>0.10057142857142858</v>
      </c>
    </row>
    <row r="465" spans="1:18" hidden="1" x14ac:dyDescent="0.2">
      <c r="A465" s="969"/>
      <c r="B465" s="275" t="s">
        <v>158</v>
      </c>
      <c r="C465" s="211"/>
      <c r="D465" s="211"/>
      <c r="E465" s="211"/>
      <c r="F465" s="211">
        <f t="shared" ref="F465:K465" si="52">SUM(F462:F464)</f>
        <v>3795.797787234043</v>
      </c>
      <c r="G465" s="211">
        <f t="shared" si="52"/>
        <v>2742.9599999999996</v>
      </c>
      <c r="H465" s="211"/>
      <c r="I465" s="211">
        <f t="shared" si="52"/>
        <v>3795.8475379939214</v>
      </c>
      <c r="J465" s="276">
        <f t="shared" si="52"/>
        <v>16625.812216413375</v>
      </c>
      <c r="K465" s="277">
        <f t="shared" si="52"/>
        <v>16625.812216413375</v>
      </c>
      <c r="L465" s="209"/>
      <c r="M465" s="253">
        <f t="shared" si="46"/>
        <v>20114.141397183179</v>
      </c>
      <c r="N465" s="209"/>
      <c r="P465" s="260">
        <f t="shared" si="47"/>
        <v>12014.164799999999</v>
      </c>
      <c r="Q465" s="260">
        <f t="shared" si="48"/>
        <v>24028.329599999997</v>
      </c>
      <c r="R465" s="260">
        <f t="shared" si="49"/>
        <v>5485.9199999999992</v>
      </c>
    </row>
    <row r="466" spans="1:18" ht="13.5" hidden="1" thickBot="1" x14ac:dyDescent="0.25">
      <c r="A466" s="970"/>
      <c r="B466" s="278" t="s">
        <v>159</v>
      </c>
      <c r="C466" s="279"/>
      <c r="D466" s="280"/>
      <c r="E466" s="280"/>
      <c r="F466" s="280">
        <f t="shared" ref="F466:K466" si="53">F462+(F463*21)+(F464*310)</f>
        <v>3809.6497021276605</v>
      </c>
      <c r="G466" s="280">
        <f t="shared" si="53"/>
        <v>2759.5497142857139</v>
      </c>
      <c r="H466" s="280"/>
      <c r="I466" s="280">
        <f t="shared" si="53"/>
        <v>3812.4372522796357</v>
      </c>
      <c r="J466" s="281">
        <f t="shared" si="53"/>
        <v>16698.475164984804</v>
      </c>
      <c r="K466" s="282">
        <f t="shared" si="53"/>
        <v>16698.475164984804</v>
      </c>
      <c r="L466" s="209"/>
      <c r="M466" s="253">
        <f t="shared" si="46"/>
        <v>20202.018404578139</v>
      </c>
      <c r="N466" s="209"/>
      <c r="P466" s="260">
        <f t="shared" si="47"/>
        <v>12086.827748571426</v>
      </c>
      <c r="Q466" s="260">
        <f t="shared" si="48"/>
        <v>24173.655497142852</v>
      </c>
      <c r="R466" s="260">
        <f t="shared" si="49"/>
        <v>5519.0994285714278</v>
      </c>
    </row>
    <row r="467" spans="1:18" hidden="1" x14ac:dyDescent="0.2">
      <c r="D467" s="220" t="s">
        <v>161</v>
      </c>
    </row>
    <row r="468" spans="1:18" hidden="1" x14ac:dyDescent="0.2"/>
    <row r="469" spans="1:18" hidden="1" x14ac:dyDescent="0.2"/>
    <row r="470" spans="1:18" hidden="1" x14ac:dyDescent="0.2">
      <c r="A470" s="227" t="s">
        <v>202</v>
      </c>
      <c r="B470" s="228"/>
      <c r="C470" s="228"/>
      <c r="D470" s="228"/>
      <c r="E470" s="228"/>
      <c r="F470" s="228"/>
      <c r="G470" s="228"/>
      <c r="H470" s="228"/>
      <c r="I470" s="228"/>
      <c r="J470" s="228"/>
      <c r="K470" s="228"/>
      <c r="L470" s="228"/>
      <c r="M470" s="228"/>
      <c r="N470" s="228"/>
      <c r="O470" s="228"/>
      <c r="P470" s="228"/>
      <c r="Q470" s="228"/>
      <c r="R470" s="228"/>
    </row>
    <row r="471" spans="1:18" hidden="1" x14ac:dyDescent="0.2">
      <c r="A471" s="228" t="s">
        <v>91</v>
      </c>
      <c r="B471" s="228">
        <v>17</v>
      </c>
      <c r="C471" s="228" t="s">
        <v>52</v>
      </c>
      <c r="D471" s="228"/>
      <c r="E471" s="228"/>
      <c r="F471" s="228"/>
      <c r="G471" s="228"/>
      <c r="H471" s="228"/>
      <c r="I471" s="228"/>
      <c r="J471" s="228"/>
      <c r="K471" s="228"/>
      <c r="L471" s="228"/>
      <c r="M471" s="228"/>
      <c r="N471" s="228"/>
      <c r="O471" s="228"/>
      <c r="P471" s="228"/>
      <c r="Q471" s="228"/>
      <c r="R471" s="228"/>
    </row>
    <row r="472" spans="1:18" hidden="1" x14ac:dyDescent="0.2">
      <c r="A472" s="228" t="s">
        <v>96</v>
      </c>
      <c r="B472" s="228">
        <f>B471/I472/1000</f>
        <v>0.12056737588652483</v>
      </c>
      <c r="C472" s="228" t="s">
        <v>93</v>
      </c>
      <c r="D472" s="228"/>
      <c r="E472" s="228"/>
      <c r="F472" s="228" t="s">
        <v>97</v>
      </c>
      <c r="G472" s="228"/>
      <c r="H472" s="228"/>
      <c r="I472" s="228">
        <v>0.14099999999999999</v>
      </c>
      <c r="J472" s="228" t="s">
        <v>95</v>
      </c>
      <c r="K472" s="228"/>
      <c r="L472" s="228"/>
      <c r="M472" s="228"/>
      <c r="N472" s="228"/>
      <c r="O472" s="228"/>
      <c r="P472" s="228"/>
      <c r="Q472" s="228"/>
      <c r="R472" s="228"/>
    </row>
    <row r="473" spans="1:18" hidden="1" x14ac:dyDescent="0.2">
      <c r="A473" s="228" t="s">
        <v>162</v>
      </c>
      <c r="B473" s="228">
        <f>B471/I473/1000</f>
        <v>0.11474159517815319</v>
      </c>
      <c r="C473" s="228" t="s">
        <v>93</v>
      </c>
      <c r="D473" s="221"/>
      <c r="E473" s="230"/>
      <c r="F473" s="231" t="s">
        <v>163</v>
      </c>
      <c r="G473" s="232"/>
      <c r="H473" s="232"/>
      <c r="I473" s="228">
        <v>0.14815900000000001</v>
      </c>
      <c r="J473" s="228" t="s">
        <v>101</v>
      </c>
      <c r="K473" s="228"/>
      <c r="L473" s="228"/>
      <c r="M473" s="228"/>
      <c r="N473" s="228"/>
      <c r="O473" s="228"/>
      <c r="P473" s="228"/>
      <c r="Q473" s="228"/>
      <c r="R473" s="228"/>
    </row>
    <row r="474" spans="1:18" hidden="1" x14ac:dyDescent="0.2">
      <c r="A474" s="228" t="s">
        <v>191</v>
      </c>
      <c r="B474" s="229">
        <f>B471/I474*1000000</f>
        <v>3777.7777777777778</v>
      </c>
      <c r="C474" s="228" t="s">
        <v>192</v>
      </c>
      <c r="D474" s="221"/>
      <c r="E474" s="230"/>
      <c r="F474" s="231" t="s">
        <v>193</v>
      </c>
      <c r="G474" s="232"/>
      <c r="H474" s="232"/>
      <c r="I474" s="228">
        <v>4500</v>
      </c>
      <c r="J474" s="228" t="s">
        <v>44</v>
      </c>
      <c r="K474" s="233"/>
      <c r="L474" s="233"/>
      <c r="M474" s="234"/>
      <c r="N474" s="233"/>
      <c r="O474" s="228"/>
      <c r="P474" s="228"/>
      <c r="Q474" s="228"/>
      <c r="R474" s="228"/>
    </row>
    <row r="475" spans="1:18" ht="13.5" hidden="1" thickBot="1" x14ac:dyDescent="0.25">
      <c r="A475" s="228" t="s">
        <v>164</v>
      </c>
      <c r="B475" s="228">
        <f>B471/I475/1000</f>
        <v>0.11474159517815319</v>
      </c>
      <c r="C475" s="228" t="s">
        <v>93</v>
      </c>
      <c r="D475" s="228"/>
      <c r="E475" s="228"/>
      <c r="F475" s="228" t="s">
        <v>165</v>
      </c>
      <c r="G475" s="228"/>
      <c r="H475" s="228"/>
      <c r="I475" s="228">
        <v>0.14815900000000001</v>
      </c>
      <c r="J475" s="228" t="s">
        <v>95</v>
      </c>
      <c r="K475" s="228"/>
      <c r="L475" s="228"/>
      <c r="M475" s="228"/>
      <c r="N475" s="228"/>
      <c r="O475" s="228"/>
      <c r="P475" s="228"/>
      <c r="Q475" s="228"/>
      <c r="R475" s="228"/>
    </row>
    <row r="476" spans="1:18" ht="51.75" hidden="1" thickBot="1" x14ac:dyDescent="0.25">
      <c r="A476" s="235" t="s">
        <v>102</v>
      </c>
      <c r="B476" s="236" t="s">
        <v>10</v>
      </c>
      <c r="C476" s="237" t="s">
        <v>104</v>
      </c>
      <c r="D476" s="283" t="s">
        <v>194</v>
      </c>
      <c r="E476" s="283" t="s">
        <v>166</v>
      </c>
      <c r="F476" s="237" t="s">
        <v>167</v>
      </c>
      <c r="G476" s="241" t="s">
        <v>107</v>
      </c>
      <c r="H476" s="241" t="s">
        <v>195</v>
      </c>
      <c r="I476" s="241" t="s">
        <v>169</v>
      </c>
      <c r="J476" s="241" t="s">
        <v>203</v>
      </c>
      <c r="K476" s="239" t="s">
        <v>170</v>
      </c>
      <c r="L476" s="239" t="s">
        <v>110</v>
      </c>
      <c r="M476" s="284" t="s">
        <v>111</v>
      </c>
    </row>
    <row r="477" spans="1:18" hidden="1" x14ac:dyDescent="0.2">
      <c r="A477" s="968" t="s">
        <v>204</v>
      </c>
      <c r="B477" s="243" t="s">
        <v>113</v>
      </c>
      <c r="C477" s="244">
        <v>2.1100000000000001E-5</v>
      </c>
      <c r="D477" s="245">
        <v>9.0999999999999997E-7</v>
      </c>
      <c r="E477" s="245">
        <v>9.0999999999999997E-7</v>
      </c>
      <c r="F477" s="244"/>
      <c r="G477" s="244">
        <f>C477*$B$472</f>
        <v>2.5439716312056742E-6</v>
      </c>
      <c r="H477" s="244">
        <f>D477*$B$471</f>
        <v>1.5469999999999999E-5</v>
      </c>
      <c r="I477" s="244">
        <f>E477*$B$471</f>
        <v>1.5469999999999999E-5</v>
      </c>
      <c r="J477" s="244"/>
      <c r="K477" s="244">
        <f t="shared" ref="K477:K538" si="54">MAX(G477:H477)</f>
        <v>1.5469999999999999E-5</v>
      </c>
      <c r="L477" s="246">
        <f t="shared" ref="L477:L516" si="55">K477*8760/2000</f>
        <v>6.7758599999999999E-5</v>
      </c>
      <c r="M477" s="247">
        <f t="shared" ref="M477:M516" si="56">K477*8760/2000</f>
        <v>6.7758599999999999E-5</v>
      </c>
    </row>
    <row r="478" spans="1:18" hidden="1" x14ac:dyDescent="0.2">
      <c r="A478" s="969"/>
      <c r="B478" s="248" t="s">
        <v>114</v>
      </c>
      <c r="C478" s="202">
        <v>2.53E-7</v>
      </c>
      <c r="D478" s="202">
        <v>5.0000000000000004E-6</v>
      </c>
      <c r="E478" s="202">
        <v>5.0000000000000004E-6</v>
      </c>
      <c r="F478" s="202"/>
      <c r="G478" s="244">
        <f t="shared" ref="G478:G538" si="57">C478*$B$472</f>
        <v>3.0503546099290784E-8</v>
      </c>
      <c r="H478" s="244">
        <f t="shared" ref="H478:I535" si="58">D478*$B$471</f>
        <v>8.5000000000000006E-5</v>
      </c>
      <c r="I478" s="244">
        <f t="shared" si="58"/>
        <v>8.5000000000000006E-5</v>
      </c>
      <c r="J478" s="244"/>
      <c r="K478" s="202">
        <f t="shared" si="54"/>
        <v>8.5000000000000006E-5</v>
      </c>
      <c r="L478" s="249">
        <f t="shared" si="55"/>
        <v>3.723E-4</v>
      </c>
      <c r="M478" s="250">
        <f t="shared" si="56"/>
        <v>3.723E-4</v>
      </c>
    </row>
    <row r="479" spans="1:18" hidden="1" x14ac:dyDescent="0.2">
      <c r="A479" s="969"/>
      <c r="B479" s="248" t="s">
        <v>171</v>
      </c>
      <c r="C479" s="202"/>
      <c r="D479" s="202">
        <v>8.3000000000000001E-4</v>
      </c>
      <c r="E479" s="202">
        <v>8.3000000000000001E-4</v>
      </c>
      <c r="F479" s="202"/>
      <c r="G479" s="244"/>
      <c r="H479" s="244">
        <f t="shared" si="58"/>
        <v>1.4110000000000001E-2</v>
      </c>
      <c r="I479" s="244">
        <f t="shared" si="58"/>
        <v>1.4110000000000001E-2</v>
      </c>
      <c r="J479" s="244"/>
      <c r="K479" s="202">
        <f t="shared" si="54"/>
        <v>1.4110000000000001E-2</v>
      </c>
      <c r="L479" s="249">
        <f t="shared" si="55"/>
        <v>6.1801800000000004E-2</v>
      </c>
      <c r="M479" s="250">
        <f t="shared" si="56"/>
        <v>6.1801800000000004E-2</v>
      </c>
    </row>
    <row r="480" spans="1:18" hidden="1" x14ac:dyDescent="0.2">
      <c r="A480" s="969"/>
      <c r="B480" s="248" t="s">
        <v>172</v>
      </c>
      <c r="C480" s="202"/>
      <c r="D480" s="202">
        <v>3.2000000000000001E-9</v>
      </c>
      <c r="E480" s="202">
        <v>3.2000000000000001E-9</v>
      </c>
      <c r="F480" s="202"/>
      <c r="G480" s="244"/>
      <c r="H480" s="244">
        <f t="shared" si="58"/>
        <v>5.4400000000000004E-8</v>
      </c>
      <c r="I480" s="244">
        <f t="shared" si="58"/>
        <v>5.4400000000000004E-8</v>
      </c>
      <c r="J480" s="244"/>
      <c r="K480" s="202">
        <f t="shared" si="54"/>
        <v>5.4400000000000004E-8</v>
      </c>
      <c r="L480" s="249">
        <f t="shared" si="55"/>
        <v>2.38272E-7</v>
      </c>
      <c r="M480" s="250">
        <f t="shared" si="56"/>
        <v>2.38272E-7</v>
      </c>
    </row>
    <row r="481" spans="1:13" hidden="1" x14ac:dyDescent="0.2">
      <c r="A481" s="969"/>
      <c r="B481" s="248" t="s">
        <v>173</v>
      </c>
      <c r="C481" s="202"/>
      <c r="D481" s="202">
        <v>4.0000000000000001E-3</v>
      </c>
      <c r="E481" s="202">
        <v>4.0000000000000001E-3</v>
      </c>
      <c r="F481" s="202"/>
      <c r="G481" s="244"/>
      <c r="H481" s="244">
        <f t="shared" si="58"/>
        <v>6.8000000000000005E-2</v>
      </c>
      <c r="I481" s="244">
        <f t="shared" si="58"/>
        <v>6.8000000000000005E-2</v>
      </c>
      <c r="J481" s="244"/>
      <c r="K481" s="202">
        <f t="shared" si="54"/>
        <v>6.8000000000000005E-2</v>
      </c>
      <c r="L481" s="249">
        <f t="shared" si="55"/>
        <v>0.29784000000000005</v>
      </c>
      <c r="M481" s="250">
        <f t="shared" si="56"/>
        <v>0.29784000000000005</v>
      </c>
    </row>
    <row r="482" spans="1:13" hidden="1" x14ac:dyDescent="0.2">
      <c r="A482" s="969"/>
      <c r="B482" s="248" t="s">
        <v>115</v>
      </c>
      <c r="C482" s="202">
        <v>1.22E-6</v>
      </c>
      <c r="D482" s="202"/>
      <c r="E482" s="202"/>
      <c r="F482" s="202"/>
      <c r="G482" s="244">
        <f t="shared" si="57"/>
        <v>1.4709219858156028E-7</v>
      </c>
      <c r="H482" s="244"/>
      <c r="I482" s="244"/>
      <c r="J482" s="244"/>
      <c r="K482" s="202">
        <f t="shared" si="54"/>
        <v>1.4709219858156028E-7</v>
      </c>
      <c r="L482" s="249">
        <f t="shared" si="55"/>
        <v>6.44263829787234E-7</v>
      </c>
      <c r="M482" s="250">
        <f t="shared" si="56"/>
        <v>6.44263829787234E-7</v>
      </c>
    </row>
    <row r="483" spans="1:13" hidden="1" x14ac:dyDescent="0.2">
      <c r="A483" s="969"/>
      <c r="B483" s="248" t="s">
        <v>116</v>
      </c>
      <c r="C483" s="202">
        <v>4.0099999999999997E-6</v>
      </c>
      <c r="D483" s="202">
        <v>6.5E-8</v>
      </c>
      <c r="E483" s="202">
        <v>6.5E-8</v>
      </c>
      <c r="F483" s="202"/>
      <c r="G483" s="244">
        <f t="shared" si="57"/>
        <v>4.8347517730496454E-7</v>
      </c>
      <c r="H483" s="244">
        <f t="shared" si="58"/>
        <v>1.105E-6</v>
      </c>
      <c r="I483" s="244">
        <f t="shared" si="58"/>
        <v>1.105E-6</v>
      </c>
      <c r="J483" s="244"/>
      <c r="K483" s="202">
        <f t="shared" si="54"/>
        <v>1.105E-6</v>
      </c>
      <c r="L483" s="249">
        <f t="shared" si="55"/>
        <v>4.8399E-6</v>
      </c>
      <c r="M483" s="250">
        <f t="shared" si="56"/>
        <v>4.8399E-6</v>
      </c>
    </row>
    <row r="484" spans="1:13" hidden="1" x14ac:dyDescent="0.2">
      <c r="A484" s="969"/>
      <c r="B484" s="248" t="s">
        <v>117</v>
      </c>
      <c r="C484" s="202">
        <v>2.0999999999999999E-3</v>
      </c>
      <c r="D484" s="202">
        <v>4.1999999999999997E-3</v>
      </c>
      <c r="E484" s="202">
        <v>4.1999999999999997E-3</v>
      </c>
      <c r="F484" s="202"/>
      <c r="G484" s="244">
        <f t="shared" si="57"/>
        <v>2.5319148936170214E-4</v>
      </c>
      <c r="H484" s="244">
        <f t="shared" si="58"/>
        <v>7.1399999999999991E-2</v>
      </c>
      <c r="I484" s="244">
        <f t="shared" si="58"/>
        <v>7.1399999999999991E-2</v>
      </c>
      <c r="J484" s="244"/>
      <c r="K484" s="202">
        <f t="shared" si="54"/>
        <v>7.1399999999999991E-2</v>
      </c>
      <c r="L484" s="249">
        <f t="shared" si="55"/>
        <v>0.31273199999999995</v>
      </c>
      <c r="M484" s="250">
        <f t="shared" si="56"/>
        <v>0.31273199999999995</v>
      </c>
    </row>
    <row r="485" spans="1:13" hidden="1" x14ac:dyDescent="0.2">
      <c r="A485" s="969"/>
      <c r="B485" s="169" t="s">
        <v>205</v>
      </c>
      <c r="C485" s="202"/>
      <c r="D485" s="202">
        <v>2.6000000000000001E-6</v>
      </c>
      <c r="E485" s="202">
        <v>2.6000000000000001E-6</v>
      </c>
      <c r="F485" s="202"/>
      <c r="G485" s="244"/>
      <c r="H485" s="244">
        <f t="shared" si="58"/>
        <v>4.4200000000000004E-5</v>
      </c>
      <c r="I485" s="244">
        <f t="shared" si="58"/>
        <v>4.4200000000000004E-5</v>
      </c>
      <c r="J485" s="244"/>
      <c r="K485" s="202">
        <f t="shared" si="54"/>
        <v>4.4200000000000004E-5</v>
      </c>
      <c r="L485" s="249">
        <f t="shared" si="55"/>
        <v>1.9359600000000001E-4</v>
      </c>
      <c r="M485" s="250">
        <f t="shared" si="56"/>
        <v>1.9359600000000001E-4</v>
      </c>
    </row>
    <row r="486" spans="1:13" hidden="1" x14ac:dyDescent="0.2">
      <c r="A486" s="969"/>
      <c r="B486" s="248" t="s">
        <v>119</v>
      </c>
      <c r="C486" s="202">
        <v>1.48E-6</v>
      </c>
      <c r="D486" s="202">
        <v>9.9999999999999995E-8</v>
      </c>
      <c r="E486" s="202">
        <v>9.9999999999999995E-8</v>
      </c>
      <c r="F486" s="202"/>
      <c r="G486" s="244">
        <f t="shared" si="57"/>
        <v>1.7843971631205676E-7</v>
      </c>
      <c r="H486" s="244">
        <f t="shared" si="58"/>
        <v>1.6999999999999998E-6</v>
      </c>
      <c r="I486" s="244">
        <f t="shared" si="58"/>
        <v>1.6999999999999998E-6</v>
      </c>
      <c r="J486" s="244"/>
      <c r="K486" s="202">
        <f t="shared" si="54"/>
        <v>1.6999999999999998E-6</v>
      </c>
      <c r="L486" s="249">
        <f t="shared" si="55"/>
        <v>7.4459999999999995E-6</v>
      </c>
      <c r="M486" s="250">
        <f t="shared" si="56"/>
        <v>7.4459999999999995E-6</v>
      </c>
    </row>
    <row r="487" spans="1:13" hidden="1" x14ac:dyDescent="0.2">
      <c r="A487" s="969"/>
      <c r="B487" s="248" t="s">
        <v>120</v>
      </c>
      <c r="C487" s="202">
        <v>2.26E-6</v>
      </c>
      <c r="D487" s="202">
        <v>9.2999999999999999E-8</v>
      </c>
      <c r="E487" s="202">
        <v>9.2999999999999999E-8</v>
      </c>
      <c r="F487" s="202"/>
      <c r="G487" s="244">
        <f t="shared" si="57"/>
        <v>2.7248226950354609E-7</v>
      </c>
      <c r="H487" s="244">
        <f t="shared" si="58"/>
        <v>1.581E-6</v>
      </c>
      <c r="I487" s="244">
        <f t="shared" si="58"/>
        <v>1.581E-6</v>
      </c>
      <c r="J487" s="244"/>
      <c r="K487" s="202">
        <f t="shared" si="54"/>
        <v>1.581E-6</v>
      </c>
      <c r="L487" s="249">
        <f t="shared" si="55"/>
        <v>6.9247800000000005E-6</v>
      </c>
      <c r="M487" s="250">
        <f t="shared" si="56"/>
        <v>6.9247800000000005E-6</v>
      </c>
    </row>
    <row r="488" spans="1:13" hidden="1" x14ac:dyDescent="0.2">
      <c r="A488" s="969"/>
      <c r="B488" s="248" t="s">
        <v>121</v>
      </c>
      <c r="C488" s="202">
        <v>1.48E-6</v>
      </c>
      <c r="D488" s="202">
        <v>3.5999999999999998E-8</v>
      </c>
      <c r="E488" s="202">
        <v>3.5999999999999998E-8</v>
      </c>
      <c r="F488" s="202"/>
      <c r="G488" s="244">
        <f t="shared" si="57"/>
        <v>1.7843971631205676E-7</v>
      </c>
      <c r="H488" s="244">
        <f t="shared" si="58"/>
        <v>6.1199999999999992E-7</v>
      </c>
      <c r="I488" s="244">
        <f t="shared" si="58"/>
        <v>6.1199999999999992E-7</v>
      </c>
      <c r="J488" s="244"/>
      <c r="K488" s="202">
        <f t="shared" si="54"/>
        <v>6.1199999999999992E-7</v>
      </c>
      <c r="L488" s="249">
        <f t="shared" si="55"/>
        <v>2.68056E-6</v>
      </c>
      <c r="M488" s="250">
        <f t="shared" si="56"/>
        <v>2.68056E-6</v>
      </c>
    </row>
    <row r="489" spans="1:13" hidden="1" x14ac:dyDescent="0.2">
      <c r="A489" s="969"/>
      <c r="B489" s="248" t="s">
        <v>174</v>
      </c>
      <c r="C489" s="202"/>
      <c r="D489" s="202">
        <v>4.6999999999999997E-8</v>
      </c>
      <c r="E489" s="202">
        <v>4.6999999999999997E-8</v>
      </c>
      <c r="F489" s="202"/>
      <c r="G489" s="244"/>
      <c r="H489" s="244">
        <f t="shared" si="58"/>
        <v>7.9899999999999999E-7</v>
      </c>
      <c r="I489" s="244">
        <f t="shared" si="58"/>
        <v>7.9899999999999999E-7</v>
      </c>
      <c r="J489" s="244"/>
      <c r="K489" s="202">
        <f t="shared" si="54"/>
        <v>7.9899999999999999E-7</v>
      </c>
      <c r="L489" s="249">
        <f t="shared" si="55"/>
        <v>3.49962E-6</v>
      </c>
      <c r="M489" s="250">
        <f t="shared" si="56"/>
        <v>3.49962E-6</v>
      </c>
    </row>
    <row r="490" spans="1:13" hidden="1" x14ac:dyDescent="0.2">
      <c r="A490" s="969"/>
      <c r="B490" s="248" t="s">
        <v>175</v>
      </c>
      <c r="C490" s="202"/>
      <c r="D490" s="202">
        <v>4.5000000000000003E-5</v>
      </c>
      <c r="E490" s="202">
        <v>4.5000000000000003E-5</v>
      </c>
      <c r="F490" s="202"/>
      <c r="G490" s="244"/>
      <c r="H490" s="244">
        <f t="shared" si="58"/>
        <v>7.6500000000000005E-4</v>
      </c>
      <c r="I490" s="244">
        <f t="shared" si="58"/>
        <v>7.6500000000000005E-4</v>
      </c>
      <c r="J490" s="244"/>
      <c r="K490" s="202">
        <f t="shared" si="54"/>
        <v>7.6500000000000005E-4</v>
      </c>
      <c r="L490" s="249">
        <f t="shared" si="55"/>
        <v>3.3507000000000003E-3</v>
      </c>
      <c r="M490" s="250">
        <f t="shared" si="56"/>
        <v>3.3507000000000003E-3</v>
      </c>
    </row>
    <row r="491" spans="1:13" hidden="1" x14ac:dyDescent="0.2">
      <c r="A491" s="969"/>
      <c r="B491" s="248" t="s">
        <v>176</v>
      </c>
      <c r="C491" s="202"/>
      <c r="D491" s="202">
        <v>7.9000000000000001E-4</v>
      </c>
      <c r="E491" s="202">
        <v>7.9000000000000001E-4</v>
      </c>
      <c r="F491" s="202"/>
      <c r="G491" s="244"/>
      <c r="H491" s="244">
        <f t="shared" si="58"/>
        <v>1.3430000000000001E-2</v>
      </c>
      <c r="I491" s="244">
        <f t="shared" si="58"/>
        <v>1.3430000000000001E-2</v>
      </c>
      <c r="J491" s="244"/>
      <c r="K491" s="202">
        <f t="shared" si="54"/>
        <v>1.3430000000000001E-2</v>
      </c>
      <c r="L491" s="249">
        <f t="shared" si="55"/>
        <v>5.8823400000000005E-2</v>
      </c>
      <c r="M491" s="250">
        <f t="shared" si="56"/>
        <v>5.8823400000000005E-2</v>
      </c>
    </row>
    <row r="492" spans="1:13" hidden="1" x14ac:dyDescent="0.2">
      <c r="A492" s="969"/>
      <c r="B492" s="248" t="s">
        <v>177</v>
      </c>
      <c r="C492" s="202"/>
      <c r="D492" s="202">
        <v>3.3000000000000003E-5</v>
      </c>
      <c r="E492" s="202">
        <v>3.3000000000000003E-5</v>
      </c>
      <c r="F492" s="202"/>
      <c r="G492" s="244"/>
      <c r="H492" s="244">
        <f t="shared" si="58"/>
        <v>5.6100000000000008E-4</v>
      </c>
      <c r="I492" s="244">
        <f t="shared" si="58"/>
        <v>5.6100000000000008E-4</v>
      </c>
      <c r="J492" s="244"/>
      <c r="K492" s="202">
        <f t="shared" si="54"/>
        <v>5.6100000000000008E-4</v>
      </c>
      <c r="L492" s="249">
        <f t="shared" si="55"/>
        <v>2.4571800000000006E-3</v>
      </c>
      <c r="M492" s="250">
        <f t="shared" si="56"/>
        <v>2.4571800000000006E-3</v>
      </c>
    </row>
    <row r="493" spans="1:13" hidden="1" x14ac:dyDescent="0.2">
      <c r="A493" s="969"/>
      <c r="B493" s="248" t="s">
        <v>178</v>
      </c>
      <c r="C493" s="202"/>
      <c r="D493" s="202">
        <v>2.8E-5</v>
      </c>
      <c r="E493" s="202">
        <v>2.8E-5</v>
      </c>
      <c r="F493" s="202"/>
      <c r="G493" s="244"/>
      <c r="H493" s="244">
        <f t="shared" si="58"/>
        <v>4.7599999999999997E-4</v>
      </c>
      <c r="I493" s="244">
        <f t="shared" si="58"/>
        <v>4.7599999999999997E-4</v>
      </c>
      <c r="J493" s="244"/>
      <c r="K493" s="202">
        <f t="shared" si="54"/>
        <v>4.7599999999999997E-4</v>
      </c>
      <c r="L493" s="249">
        <f t="shared" si="55"/>
        <v>2.0848799999999999E-3</v>
      </c>
      <c r="M493" s="250">
        <f t="shared" si="56"/>
        <v>2.0848799999999999E-3</v>
      </c>
    </row>
    <row r="494" spans="1:13" hidden="1" x14ac:dyDescent="0.2">
      <c r="A494" s="969"/>
      <c r="B494" s="248" t="s">
        <v>122</v>
      </c>
      <c r="C494" s="202">
        <v>2.3800000000000001E-6</v>
      </c>
      <c r="D494" s="202">
        <v>3.8E-3</v>
      </c>
      <c r="E494" s="202">
        <v>3.8E-3</v>
      </c>
      <c r="F494" s="202"/>
      <c r="G494" s="244">
        <f t="shared" si="57"/>
        <v>2.8695035460992913E-7</v>
      </c>
      <c r="H494" s="244">
        <f t="shared" si="58"/>
        <v>6.4600000000000005E-2</v>
      </c>
      <c r="I494" s="244">
        <f t="shared" si="58"/>
        <v>6.4600000000000005E-2</v>
      </c>
      <c r="J494" s="244"/>
      <c r="K494" s="202">
        <f t="shared" si="54"/>
        <v>6.4600000000000005E-2</v>
      </c>
      <c r="L494" s="249">
        <f t="shared" si="55"/>
        <v>0.28294800000000003</v>
      </c>
      <c r="M494" s="250">
        <f t="shared" si="56"/>
        <v>0.28294800000000003</v>
      </c>
    </row>
    <row r="495" spans="1:13" hidden="1" x14ac:dyDescent="0.2">
      <c r="A495" s="969"/>
      <c r="B495" s="248" t="s">
        <v>123</v>
      </c>
      <c r="C495" s="202">
        <v>1.6700000000000001E-6</v>
      </c>
      <c r="D495" s="202">
        <v>9.1000000000000004E-9</v>
      </c>
      <c r="E495" s="202">
        <v>9.1000000000000004E-9</v>
      </c>
      <c r="F495" s="202"/>
      <c r="G495" s="244">
        <f t="shared" si="57"/>
        <v>2.0134751773049647E-7</v>
      </c>
      <c r="H495" s="244">
        <f t="shared" si="58"/>
        <v>1.547E-7</v>
      </c>
      <c r="I495" s="244">
        <f t="shared" si="58"/>
        <v>1.547E-7</v>
      </c>
      <c r="J495" s="244"/>
      <c r="K495" s="202">
        <f t="shared" si="54"/>
        <v>2.0134751773049647E-7</v>
      </c>
      <c r="L495" s="249">
        <f t="shared" si="55"/>
        <v>8.8190212765957446E-7</v>
      </c>
      <c r="M495" s="250">
        <f t="shared" si="56"/>
        <v>8.8190212765957446E-7</v>
      </c>
    </row>
    <row r="496" spans="1:13" hidden="1" x14ac:dyDescent="0.2">
      <c r="A496" s="969"/>
      <c r="B496" s="248" t="s">
        <v>124</v>
      </c>
      <c r="C496" s="202"/>
      <c r="D496" s="202"/>
      <c r="E496" s="202"/>
      <c r="F496" s="202"/>
      <c r="G496" s="244"/>
      <c r="H496" s="244"/>
      <c r="I496" s="244"/>
      <c r="J496" s="244"/>
      <c r="K496" s="202">
        <f t="shared" si="54"/>
        <v>0</v>
      </c>
      <c r="L496" s="249">
        <f t="shared" si="55"/>
        <v>0</v>
      </c>
      <c r="M496" s="250">
        <f t="shared" si="56"/>
        <v>0</v>
      </c>
    </row>
    <row r="497" spans="1:13" hidden="1" x14ac:dyDescent="0.2">
      <c r="A497" s="969"/>
      <c r="B497" s="248" t="s">
        <v>179</v>
      </c>
      <c r="C497" s="202"/>
      <c r="D497" s="202">
        <v>1.8E-7</v>
      </c>
      <c r="E497" s="202">
        <v>1.8E-7</v>
      </c>
      <c r="F497" s="202"/>
      <c r="G497" s="244"/>
      <c r="H497" s="244">
        <f t="shared" si="58"/>
        <v>3.0599999999999999E-6</v>
      </c>
      <c r="I497" s="244">
        <f t="shared" si="58"/>
        <v>3.0599999999999999E-6</v>
      </c>
      <c r="J497" s="244"/>
      <c r="K497" s="202">
        <f t="shared" si="54"/>
        <v>3.0599999999999999E-6</v>
      </c>
      <c r="L497" s="249">
        <f t="shared" si="55"/>
        <v>1.34028E-5</v>
      </c>
      <c r="M497" s="250">
        <f t="shared" si="56"/>
        <v>1.34028E-5</v>
      </c>
    </row>
    <row r="498" spans="1:13" hidden="1" x14ac:dyDescent="0.2">
      <c r="A498" s="969"/>
      <c r="B498" s="248" t="s">
        <v>125</v>
      </c>
      <c r="C498" s="202">
        <v>6.3600000000000001E-5</v>
      </c>
      <c r="D498" s="202">
        <v>3.1000000000000001E-5</v>
      </c>
      <c r="E498" s="202">
        <v>3.1000000000000001E-5</v>
      </c>
      <c r="F498" s="202"/>
      <c r="G498" s="244">
        <f t="shared" si="57"/>
        <v>7.6680851063829786E-6</v>
      </c>
      <c r="H498" s="244">
        <f t="shared" si="58"/>
        <v>5.2700000000000002E-4</v>
      </c>
      <c r="I498" s="244">
        <f t="shared" si="58"/>
        <v>5.2700000000000002E-4</v>
      </c>
      <c r="J498" s="244"/>
      <c r="K498" s="202">
        <f t="shared" si="54"/>
        <v>5.2700000000000002E-4</v>
      </c>
      <c r="L498" s="249">
        <f t="shared" si="55"/>
        <v>2.3082600000000003E-3</v>
      </c>
      <c r="M498" s="250">
        <f t="shared" si="56"/>
        <v>2.3082600000000003E-3</v>
      </c>
    </row>
    <row r="499" spans="1:13" hidden="1" x14ac:dyDescent="0.2">
      <c r="A499" s="969"/>
      <c r="B499" s="248" t="s">
        <v>126</v>
      </c>
      <c r="C499" s="202">
        <v>4.8400000000000002E-6</v>
      </c>
      <c r="D499" s="202">
        <v>1.5999999999999999E-6</v>
      </c>
      <c r="E499" s="202">
        <v>1.5999999999999999E-6</v>
      </c>
      <c r="F499" s="202"/>
      <c r="G499" s="244">
        <f t="shared" si="57"/>
        <v>5.8354609929078021E-7</v>
      </c>
      <c r="H499" s="244">
        <f t="shared" si="58"/>
        <v>2.7199999999999997E-5</v>
      </c>
      <c r="I499" s="244">
        <f t="shared" si="58"/>
        <v>2.7199999999999997E-5</v>
      </c>
      <c r="J499" s="244"/>
      <c r="K499" s="202">
        <f t="shared" si="54"/>
        <v>2.7199999999999997E-5</v>
      </c>
      <c r="L499" s="249">
        <f t="shared" si="55"/>
        <v>1.1913599999999999E-4</v>
      </c>
      <c r="M499" s="250">
        <f t="shared" si="56"/>
        <v>1.1913599999999999E-4</v>
      </c>
    </row>
    <row r="500" spans="1:13" hidden="1" x14ac:dyDescent="0.2">
      <c r="A500" s="969"/>
      <c r="B500" s="248" t="s">
        <v>127</v>
      </c>
      <c r="C500" s="202">
        <v>4.4700000000000004E-6</v>
      </c>
      <c r="D500" s="202">
        <v>3.4000000000000001E-6</v>
      </c>
      <c r="E500" s="202">
        <v>3.4000000000000001E-6</v>
      </c>
      <c r="F500" s="202"/>
      <c r="G500" s="244">
        <f t="shared" si="57"/>
        <v>5.3893617021276606E-7</v>
      </c>
      <c r="H500" s="244">
        <f t="shared" si="58"/>
        <v>5.7800000000000002E-5</v>
      </c>
      <c r="I500" s="244">
        <f t="shared" si="58"/>
        <v>5.7800000000000002E-5</v>
      </c>
      <c r="J500" s="244"/>
      <c r="K500" s="202">
        <f t="shared" si="54"/>
        <v>5.7800000000000002E-5</v>
      </c>
      <c r="L500" s="249">
        <f t="shared" si="55"/>
        <v>2.53164E-4</v>
      </c>
      <c r="M500" s="250">
        <f t="shared" si="56"/>
        <v>2.53164E-4</v>
      </c>
    </row>
    <row r="501" spans="1:13" hidden="1" x14ac:dyDescent="0.2">
      <c r="A501" s="969"/>
      <c r="B501" s="248" t="s">
        <v>128</v>
      </c>
      <c r="C501" s="202">
        <v>3.3000000000000002E-2</v>
      </c>
      <c r="D501" s="202">
        <v>4.4000000000000003E-3</v>
      </c>
      <c r="E501" s="202">
        <v>4.4000000000000003E-3</v>
      </c>
      <c r="F501" s="202">
        <v>6.0999999999999999E-2</v>
      </c>
      <c r="G501" s="244">
        <f t="shared" si="57"/>
        <v>3.9787234042553193E-3</v>
      </c>
      <c r="H501" s="244">
        <f t="shared" si="58"/>
        <v>7.4800000000000005E-2</v>
      </c>
      <c r="I501" s="244">
        <f t="shared" si="58"/>
        <v>7.4800000000000005E-2</v>
      </c>
      <c r="J501" s="244">
        <f t="shared" ref="J501:J538" si="59">F501*$B$475</f>
        <v>6.9992373058673446E-3</v>
      </c>
      <c r="K501" s="202">
        <f t="shared" si="54"/>
        <v>7.4800000000000005E-2</v>
      </c>
      <c r="L501" s="249">
        <f t="shared" si="55"/>
        <v>0.32762400000000003</v>
      </c>
      <c r="M501" s="250">
        <f t="shared" si="56"/>
        <v>0.32762400000000003</v>
      </c>
    </row>
    <row r="502" spans="1:13" hidden="1" x14ac:dyDescent="0.2">
      <c r="A502" s="969"/>
      <c r="B502" s="248" t="s">
        <v>129</v>
      </c>
      <c r="C502" s="183">
        <v>1.8</v>
      </c>
      <c r="D502" s="202"/>
      <c r="E502" s="202"/>
      <c r="F502" s="202"/>
      <c r="G502" s="244">
        <f t="shared" si="57"/>
        <v>0.21702127659574469</v>
      </c>
      <c r="H502" s="244"/>
      <c r="I502" s="244"/>
      <c r="J502" s="244"/>
      <c r="K502" s="202">
        <f t="shared" si="54"/>
        <v>0.21702127659574469</v>
      </c>
      <c r="L502" s="249">
        <f>K502*8760/2000</f>
        <v>0.95055319148936179</v>
      </c>
      <c r="M502" s="251">
        <f t="shared" si="56"/>
        <v>0.95055319148936179</v>
      </c>
    </row>
    <row r="503" spans="1:13" hidden="1" x14ac:dyDescent="0.2">
      <c r="A503" s="969"/>
      <c r="B503" s="248" t="s">
        <v>180</v>
      </c>
      <c r="C503" s="183"/>
      <c r="D503" s="202">
        <v>1.9E-2</v>
      </c>
      <c r="E503" s="202">
        <v>1.9E-2</v>
      </c>
      <c r="F503" s="202"/>
      <c r="G503" s="244"/>
      <c r="H503" s="244">
        <f t="shared" si="58"/>
        <v>0.32300000000000001</v>
      </c>
      <c r="I503" s="244">
        <f t="shared" si="58"/>
        <v>0.32300000000000001</v>
      </c>
      <c r="J503" s="244"/>
      <c r="K503" s="202">
        <f t="shared" si="54"/>
        <v>0.32300000000000001</v>
      </c>
      <c r="L503" s="249">
        <f t="shared" si="55"/>
        <v>1.4147400000000001</v>
      </c>
      <c r="M503" s="250">
        <f t="shared" si="56"/>
        <v>1.4147400000000001</v>
      </c>
    </row>
    <row r="504" spans="1:13" hidden="1" x14ac:dyDescent="0.2">
      <c r="A504" s="969"/>
      <c r="B504" s="248" t="s">
        <v>130</v>
      </c>
      <c r="C504" s="202">
        <v>2.1399999999999998E-6</v>
      </c>
      <c r="D504" s="202">
        <v>8.6999999999999998E-8</v>
      </c>
      <c r="E504" s="202">
        <v>8.6999999999999998E-8</v>
      </c>
      <c r="F504" s="202"/>
      <c r="G504" s="244">
        <f t="shared" si="57"/>
        <v>2.5801418439716311E-7</v>
      </c>
      <c r="H504" s="244">
        <f t="shared" si="58"/>
        <v>1.4789999999999999E-6</v>
      </c>
      <c r="I504" s="244">
        <f t="shared" si="58"/>
        <v>1.4789999999999999E-6</v>
      </c>
      <c r="J504" s="244"/>
      <c r="K504" s="202">
        <f t="shared" si="54"/>
        <v>1.4789999999999999E-6</v>
      </c>
      <c r="L504" s="249">
        <f t="shared" si="55"/>
        <v>6.4780200000000002E-6</v>
      </c>
      <c r="M504" s="250">
        <f t="shared" si="56"/>
        <v>6.4780200000000002E-6</v>
      </c>
    </row>
    <row r="505" spans="1:13" hidden="1" x14ac:dyDescent="0.2">
      <c r="A505" s="969"/>
      <c r="B505" s="248" t="s">
        <v>131</v>
      </c>
      <c r="C505" s="202">
        <v>1.1299999999999999E-3</v>
      </c>
      <c r="D505" s="202">
        <v>9.7E-5</v>
      </c>
      <c r="E505" s="202">
        <v>9.7E-5</v>
      </c>
      <c r="F505" s="202"/>
      <c r="G505" s="244">
        <f t="shared" si="57"/>
        <v>1.3624113475177305E-4</v>
      </c>
      <c r="H505" s="244">
        <f t="shared" si="58"/>
        <v>1.6490000000000001E-3</v>
      </c>
      <c r="I505" s="244">
        <f t="shared" si="58"/>
        <v>1.6490000000000001E-3</v>
      </c>
      <c r="J505" s="244"/>
      <c r="K505" s="202">
        <f t="shared" si="54"/>
        <v>1.6490000000000001E-3</v>
      </c>
      <c r="L505" s="249">
        <f t="shared" si="55"/>
        <v>7.2226199999999999E-3</v>
      </c>
      <c r="M505" s="250">
        <f t="shared" si="56"/>
        <v>7.2226199999999999E-3</v>
      </c>
    </row>
    <row r="506" spans="1:13" hidden="1" x14ac:dyDescent="0.2">
      <c r="A506" s="969"/>
      <c r="B506" s="248" t="s">
        <v>181</v>
      </c>
      <c r="C506" s="202"/>
      <c r="D506" s="202">
        <v>1.1000000000000001E-7</v>
      </c>
      <c r="E506" s="202">
        <v>1.1000000000000001E-7</v>
      </c>
      <c r="F506" s="202"/>
      <c r="G506" s="244"/>
      <c r="H506" s="244">
        <f t="shared" si="58"/>
        <v>1.8700000000000001E-6</v>
      </c>
      <c r="I506" s="244">
        <f t="shared" si="58"/>
        <v>1.8700000000000001E-6</v>
      </c>
      <c r="J506" s="244"/>
      <c r="K506" s="202">
        <f t="shared" si="54"/>
        <v>1.8700000000000001E-6</v>
      </c>
      <c r="L506" s="249">
        <f t="shared" si="55"/>
        <v>8.1906000000000008E-6</v>
      </c>
      <c r="M506" s="250">
        <f t="shared" si="56"/>
        <v>8.1906000000000008E-6</v>
      </c>
    </row>
    <row r="507" spans="1:13" hidden="1" x14ac:dyDescent="0.2">
      <c r="A507" s="969"/>
      <c r="B507" s="248" t="s">
        <v>182</v>
      </c>
      <c r="C507" s="202"/>
      <c r="D507" s="202">
        <v>5.1E-8</v>
      </c>
      <c r="E507" s="202">
        <v>5.1E-8</v>
      </c>
      <c r="F507" s="202"/>
      <c r="G507" s="244"/>
      <c r="H507" s="244">
        <f t="shared" si="58"/>
        <v>8.6700000000000002E-7</v>
      </c>
      <c r="I507" s="244">
        <f t="shared" si="58"/>
        <v>8.6700000000000002E-7</v>
      </c>
      <c r="J507" s="244"/>
      <c r="K507" s="202">
        <f t="shared" si="54"/>
        <v>8.6700000000000002E-7</v>
      </c>
      <c r="L507" s="249">
        <f t="shared" si="55"/>
        <v>3.7974599999999998E-6</v>
      </c>
      <c r="M507" s="250">
        <f t="shared" si="56"/>
        <v>3.7974599999999998E-6</v>
      </c>
    </row>
    <row r="508" spans="1:13" hidden="1" x14ac:dyDescent="0.2">
      <c r="A508" s="969"/>
      <c r="B508" s="248" t="s">
        <v>132</v>
      </c>
      <c r="C508" s="202">
        <v>1.0499999999999999E-5</v>
      </c>
      <c r="D508" s="202">
        <v>6.9999999999999999E-6</v>
      </c>
      <c r="E508" s="202">
        <v>6.9999999999999999E-6</v>
      </c>
      <c r="F508" s="202"/>
      <c r="G508" s="244">
        <f t="shared" si="57"/>
        <v>1.2659574468085106E-6</v>
      </c>
      <c r="H508" s="244">
        <f t="shared" si="58"/>
        <v>1.1899999999999999E-4</v>
      </c>
      <c r="I508" s="244">
        <f t="shared" si="58"/>
        <v>1.1899999999999999E-4</v>
      </c>
      <c r="J508" s="244"/>
      <c r="K508" s="202">
        <f t="shared" si="54"/>
        <v>1.1899999999999999E-4</v>
      </c>
      <c r="L508" s="249">
        <f t="shared" si="55"/>
        <v>5.2121999999999997E-4</v>
      </c>
      <c r="M508" s="250">
        <f t="shared" si="56"/>
        <v>5.2121999999999997E-4</v>
      </c>
    </row>
    <row r="509" spans="1:13" hidden="1" x14ac:dyDescent="0.2">
      <c r="A509" s="969"/>
      <c r="B509" s="248" t="s">
        <v>183</v>
      </c>
      <c r="C509" s="202"/>
      <c r="D509" s="202">
        <v>5.1E-5</v>
      </c>
      <c r="E509" s="202">
        <v>5.1E-5</v>
      </c>
      <c r="F509" s="202"/>
      <c r="G509" s="244"/>
      <c r="H509" s="244">
        <f t="shared" si="58"/>
        <v>8.6700000000000004E-4</v>
      </c>
      <c r="I509" s="244">
        <f t="shared" si="58"/>
        <v>8.6700000000000004E-4</v>
      </c>
      <c r="J509" s="244"/>
      <c r="K509" s="202">
        <f t="shared" si="54"/>
        <v>8.6700000000000004E-4</v>
      </c>
      <c r="L509" s="249">
        <f t="shared" si="55"/>
        <v>3.7974599999999999E-3</v>
      </c>
      <c r="M509" s="250">
        <f t="shared" si="56"/>
        <v>3.7974599999999999E-3</v>
      </c>
    </row>
    <row r="510" spans="1:13" hidden="1" x14ac:dyDescent="0.2">
      <c r="A510" s="969"/>
      <c r="B510" s="248" t="s">
        <v>133</v>
      </c>
      <c r="C510" s="202">
        <v>4.25E-6</v>
      </c>
      <c r="D510" s="202">
        <v>3.7000000000000002E-6</v>
      </c>
      <c r="E510" s="202">
        <v>3.7000000000000002E-6</v>
      </c>
      <c r="F510" s="202"/>
      <c r="G510" s="244">
        <f t="shared" si="57"/>
        <v>5.124113475177305E-7</v>
      </c>
      <c r="H510" s="244">
        <f t="shared" si="58"/>
        <v>6.2899999999999997E-5</v>
      </c>
      <c r="I510" s="244">
        <f t="shared" si="58"/>
        <v>6.2899999999999997E-5</v>
      </c>
      <c r="J510" s="244"/>
      <c r="K510" s="202">
        <f t="shared" si="54"/>
        <v>6.2899999999999997E-5</v>
      </c>
      <c r="L510" s="249">
        <f t="shared" si="55"/>
        <v>2.7550199999999995E-4</v>
      </c>
      <c r="M510" s="250">
        <f t="shared" si="56"/>
        <v>2.7550199999999995E-4</v>
      </c>
    </row>
    <row r="511" spans="1:13" hidden="1" x14ac:dyDescent="0.2">
      <c r="A511" s="969"/>
      <c r="B511" s="248" t="s">
        <v>184</v>
      </c>
      <c r="C511" s="202"/>
      <c r="D511" s="202">
        <v>1.9E-3</v>
      </c>
      <c r="E511" s="202">
        <v>1.9E-3</v>
      </c>
      <c r="F511" s="202"/>
      <c r="G511" s="244"/>
      <c r="H511" s="244">
        <f t="shared" si="58"/>
        <v>3.2300000000000002E-2</v>
      </c>
      <c r="I511" s="244">
        <f t="shared" si="58"/>
        <v>3.2300000000000002E-2</v>
      </c>
      <c r="J511" s="244"/>
      <c r="K511" s="202">
        <f t="shared" si="54"/>
        <v>3.2300000000000002E-2</v>
      </c>
      <c r="L511" s="249">
        <f t="shared" si="55"/>
        <v>0.14147400000000002</v>
      </c>
      <c r="M511" s="250">
        <f t="shared" si="56"/>
        <v>0.14147400000000002</v>
      </c>
    </row>
    <row r="512" spans="1:13" hidden="1" x14ac:dyDescent="0.2">
      <c r="A512" s="969"/>
      <c r="B512" s="248" t="s">
        <v>185</v>
      </c>
      <c r="C512" s="202"/>
      <c r="D512" s="202">
        <v>8.5999999999999997E-12</v>
      </c>
      <c r="E512" s="202">
        <v>8.5999999999999997E-12</v>
      </c>
      <c r="F512" s="202"/>
      <c r="G512" s="244"/>
      <c r="H512" s="244">
        <f t="shared" si="58"/>
        <v>1.462E-10</v>
      </c>
      <c r="I512" s="244">
        <f t="shared" si="58"/>
        <v>1.462E-10</v>
      </c>
      <c r="J512" s="244"/>
      <c r="K512" s="202">
        <f t="shared" si="54"/>
        <v>1.462E-10</v>
      </c>
      <c r="L512" s="249">
        <f t="shared" si="55"/>
        <v>6.4035600000000002E-10</v>
      </c>
      <c r="M512" s="250">
        <f t="shared" si="56"/>
        <v>6.4035600000000002E-10</v>
      </c>
    </row>
    <row r="513" spans="1:18" hidden="1" x14ac:dyDescent="0.2">
      <c r="A513" s="969"/>
      <c r="B513" s="248" t="s">
        <v>134</v>
      </c>
      <c r="C513" s="202"/>
      <c r="D513" s="202">
        <v>9.2000000000000003E-4</v>
      </c>
      <c r="E513" s="202">
        <v>9.2000000000000003E-4</v>
      </c>
      <c r="F513" s="202"/>
      <c r="G513" s="244"/>
      <c r="H513" s="244">
        <f t="shared" si="58"/>
        <v>1.5640000000000001E-2</v>
      </c>
      <c r="I513" s="244">
        <f t="shared" si="58"/>
        <v>1.5640000000000001E-2</v>
      </c>
      <c r="J513" s="244"/>
      <c r="K513" s="202">
        <f t="shared" si="54"/>
        <v>1.5640000000000001E-2</v>
      </c>
      <c r="L513" s="249">
        <f t="shared" si="55"/>
        <v>6.85032E-2</v>
      </c>
      <c r="M513" s="250">
        <f t="shared" si="56"/>
        <v>6.85032E-2</v>
      </c>
    </row>
    <row r="514" spans="1:18" hidden="1" x14ac:dyDescent="0.2">
      <c r="A514" s="969"/>
      <c r="B514" s="248" t="s">
        <v>186</v>
      </c>
      <c r="C514" s="202"/>
      <c r="D514" s="202">
        <v>2.1999999999999998E-8</v>
      </c>
      <c r="E514" s="202">
        <v>2.1999999999999998E-8</v>
      </c>
      <c r="F514" s="202"/>
      <c r="G514" s="244"/>
      <c r="H514" s="244">
        <f t="shared" si="58"/>
        <v>3.7399999999999999E-7</v>
      </c>
      <c r="I514" s="244">
        <f t="shared" si="58"/>
        <v>3.7399999999999999E-7</v>
      </c>
      <c r="J514" s="244"/>
      <c r="K514" s="202">
        <f t="shared" si="54"/>
        <v>3.7399999999999999E-7</v>
      </c>
      <c r="L514" s="249">
        <f t="shared" si="55"/>
        <v>1.63812E-6</v>
      </c>
      <c r="M514" s="250">
        <f t="shared" si="56"/>
        <v>1.63812E-6</v>
      </c>
    </row>
    <row r="515" spans="1:18" hidden="1" x14ac:dyDescent="0.2">
      <c r="A515" s="969"/>
      <c r="B515" s="248" t="s">
        <v>135</v>
      </c>
      <c r="C515" s="202">
        <v>1.0900000000000001E-4</v>
      </c>
      <c r="D515" s="202">
        <v>2.5000000000000001E-5</v>
      </c>
      <c r="E515" s="202">
        <v>2.5000000000000001E-5</v>
      </c>
      <c r="F515" s="202"/>
      <c r="G515" s="244">
        <f t="shared" si="57"/>
        <v>1.3141843971631207E-5</v>
      </c>
      <c r="H515" s="244">
        <f t="shared" si="58"/>
        <v>4.2500000000000003E-4</v>
      </c>
      <c r="I515" s="244">
        <f t="shared" si="58"/>
        <v>4.2500000000000003E-4</v>
      </c>
      <c r="J515" s="244"/>
      <c r="K515" s="202">
        <f t="shared" si="54"/>
        <v>4.2500000000000003E-4</v>
      </c>
      <c r="L515" s="249">
        <f t="shared" si="55"/>
        <v>1.8615000000000001E-3</v>
      </c>
      <c r="M515" s="250">
        <f t="shared" si="56"/>
        <v>1.8615000000000001E-3</v>
      </c>
    </row>
    <row r="516" spans="1:18" hidden="1" x14ac:dyDescent="0.2">
      <c r="A516" s="969"/>
      <c r="B516" s="252" t="s">
        <v>187</v>
      </c>
      <c r="C516" s="202"/>
      <c r="D516" s="202">
        <v>1.8E-5</v>
      </c>
      <c r="E516" s="202">
        <v>1.8E-5</v>
      </c>
      <c r="F516" s="202"/>
      <c r="G516" s="244"/>
      <c r="H516" s="244">
        <f t="shared" si="58"/>
        <v>3.0600000000000001E-4</v>
      </c>
      <c r="I516" s="244">
        <f t="shared" si="58"/>
        <v>3.0600000000000001E-4</v>
      </c>
      <c r="J516" s="244"/>
      <c r="K516" s="202">
        <f t="shared" si="54"/>
        <v>3.0600000000000001E-4</v>
      </c>
      <c r="L516" s="249">
        <f t="shared" si="55"/>
        <v>1.3402800000000001E-3</v>
      </c>
      <c r="M516" s="250">
        <f t="shared" si="56"/>
        <v>1.3402800000000001E-3</v>
      </c>
    </row>
    <row r="517" spans="1:18" hidden="1" x14ac:dyDescent="0.2">
      <c r="A517" s="969"/>
      <c r="B517" s="248" t="s">
        <v>136</v>
      </c>
      <c r="C517" s="179"/>
      <c r="D517" s="179"/>
      <c r="E517" s="179"/>
      <c r="F517" s="179"/>
      <c r="G517" s="244"/>
      <c r="H517" s="244"/>
      <c r="I517" s="244"/>
      <c r="J517" s="244"/>
      <c r="K517" s="202">
        <f t="shared" si="54"/>
        <v>0</v>
      </c>
      <c r="L517" s="249">
        <f>K517*8760/2000</f>
        <v>0</v>
      </c>
      <c r="M517" s="250">
        <f>K517*8760/2000</f>
        <v>0</v>
      </c>
      <c r="O517" s="253"/>
      <c r="P517" s="253"/>
      <c r="Q517" s="253"/>
    </row>
    <row r="518" spans="1:18" hidden="1" x14ac:dyDescent="0.2">
      <c r="A518" s="969"/>
      <c r="B518" s="248" t="s">
        <v>137</v>
      </c>
      <c r="C518" s="179">
        <v>1.7200000000000001E-4</v>
      </c>
      <c r="D518" s="249">
        <v>2.1999999999999999E-5</v>
      </c>
      <c r="E518" s="249">
        <v>2.1999999999999999E-5</v>
      </c>
      <c r="F518" s="249">
        <v>0.11</v>
      </c>
      <c r="G518" s="244">
        <f t="shared" si="57"/>
        <v>2.0737588652482273E-5</v>
      </c>
      <c r="H518" s="244">
        <f t="shared" si="58"/>
        <v>3.7399999999999998E-4</v>
      </c>
      <c r="I518" s="244">
        <f t="shared" si="58"/>
        <v>3.7399999999999998E-4</v>
      </c>
      <c r="J518" s="244">
        <f t="shared" si="59"/>
        <v>1.262157546959685E-2</v>
      </c>
      <c r="K518" s="202">
        <f t="shared" si="54"/>
        <v>3.7399999999999998E-4</v>
      </c>
      <c r="L518" s="246">
        <f>K518*8760/2000</f>
        <v>1.6381200000000001E-3</v>
      </c>
      <c r="M518" s="247">
        <f>K518*8760/2000</f>
        <v>1.6381200000000001E-3</v>
      </c>
      <c r="O518" s="253"/>
      <c r="P518" s="253"/>
      <c r="Q518" s="253"/>
    </row>
    <row r="519" spans="1:18" hidden="1" x14ac:dyDescent="0.2">
      <c r="A519" s="969"/>
      <c r="B519" s="248" t="s">
        <v>138</v>
      </c>
      <c r="C519" s="179">
        <v>1.2899999999999999E-4</v>
      </c>
      <c r="D519" s="249">
        <v>1.1000000000000001E-6</v>
      </c>
      <c r="E519" s="249">
        <v>1.1000000000000001E-6</v>
      </c>
      <c r="F519" s="249"/>
      <c r="G519" s="244">
        <f t="shared" si="57"/>
        <v>1.5553191489361702E-5</v>
      </c>
      <c r="H519" s="244">
        <f t="shared" si="58"/>
        <v>1.8700000000000001E-5</v>
      </c>
      <c r="I519" s="244">
        <f t="shared" si="58"/>
        <v>1.8700000000000001E-5</v>
      </c>
      <c r="J519" s="244"/>
      <c r="K519" s="202">
        <f t="shared" si="54"/>
        <v>1.8700000000000001E-5</v>
      </c>
      <c r="L519" s="249">
        <f t="shared" ref="L519:L525" si="60">K519*8760/2000</f>
        <v>8.1906000000000012E-5</v>
      </c>
      <c r="M519" s="250">
        <f t="shared" ref="M519:M525" si="61">K519*8760/2000</f>
        <v>8.1906000000000012E-5</v>
      </c>
      <c r="O519" s="253"/>
      <c r="P519" s="253"/>
      <c r="Q519" s="253"/>
    </row>
    <row r="520" spans="1:18" hidden="1" x14ac:dyDescent="0.2">
      <c r="A520" s="969"/>
      <c r="B520" s="248" t="s">
        <v>139</v>
      </c>
      <c r="C520" s="179">
        <v>1.2899999999999999E-4</v>
      </c>
      <c r="D520" s="249">
        <v>4.0999999999999997E-6</v>
      </c>
      <c r="E520" s="249">
        <v>4.0999999999999997E-6</v>
      </c>
      <c r="F520" s="249">
        <v>9.2999999999999992E-3</v>
      </c>
      <c r="G520" s="244">
        <f t="shared" si="57"/>
        <v>1.5553191489361702E-5</v>
      </c>
      <c r="H520" s="244">
        <f t="shared" si="58"/>
        <v>6.97E-5</v>
      </c>
      <c r="I520" s="244">
        <f t="shared" si="58"/>
        <v>6.97E-5</v>
      </c>
      <c r="J520" s="244">
        <f t="shared" si="59"/>
        <v>1.0670968351568246E-3</v>
      </c>
      <c r="K520" s="202">
        <f t="shared" si="54"/>
        <v>6.97E-5</v>
      </c>
      <c r="L520" s="249">
        <f t="shared" si="60"/>
        <v>3.0528599999999999E-4</v>
      </c>
      <c r="M520" s="250">
        <f t="shared" si="61"/>
        <v>3.0528599999999999E-4</v>
      </c>
      <c r="O520" s="253"/>
      <c r="P520" s="253"/>
      <c r="Q520" s="253"/>
    </row>
    <row r="521" spans="1:18" hidden="1" x14ac:dyDescent="0.2">
      <c r="A521" s="969"/>
      <c r="B521" s="248" t="s">
        <v>140</v>
      </c>
      <c r="C521" s="179">
        <v>1.2899999999999999E-4</v>
      </c>
      <c r="D521" s="249">
        <v>2.0999999999999999E-5</v>
      </c>
      <c r="E521" s="249">
        <v>2.0999999999999999E-5</v>
      </c>
      <c r="F521" s="249">
        <v>0.02</v>
      </c>
      <c r="G521" s="244">
        <f t="shared" si="57"/>
        <v>1.5553191489361702E-5</v>
      </c>
      <c r="H521" s="244">
        <f t="shared" si="58"/>
        <v>3.57E-4</v>
      </c>
      <c r="I521" s="244">
        <f t="shared" si="58"/>
        <v>3.57E-4</v>
      </c>
      <c r="J521" s="244">
        <f t="shared" si="59"/>
        <v>2.294831903563064E-3</v>
      </c>
      <c r="K521" s="202">
        <f t="shared" si="54"/>
        <v>3.57E-4</v>
      </c>
      <c r="L521" s="249">
        <f t="shared" si="60"/>
        <v>1.5636600000000001E-3</v>
      </c>
      <c r="M521" s="250">
        <f t="shared" si="61"/>
        <v>1.5636600000000001E-3</v>
      </c>
      <c r="O521" s="253"/>
      <c r="P521" s="253"/>
      <c r="Q521" s="253"/>
    </row>
    <row r="522" spans="1:18" hidden="1" x14ac:dyDescent="0.2">
      <c r="A522" s="969"/>
      <c r="B522" s="248" t="s">
        <v>141</v>
      </c>
      <c r="C522" s="179">
        <v>1.2899999999999999E-4</v>
      </c>
      <c r="D522" s="249">
        <v>6.4999999999999996E-6</v>
      </c>
      <c r="E522" s="249">
        <v>6.4999999999999996E-6</v>
      </c>
      <c r="F522" s="249">
        <v>2.1000000000000001E-4</v>
      </c>
      <c r="G522" s="244">
        <f t="shared" si="57"/>
        <v>1.5553191489361702E-5</v>
      </c>
      <c r="H522" s="244">
        <f t="shared" si="58"/>
        <v>1.1049999999999999E-4</v>
      </c>
      <c r="I522" s="244">
        <f t="shared" si="58"/>
        <v>1.1049999999999999E-4</v>
      </c>
      <c r="J522" s="244">
        <f t="shared" si="59"/>
        <v>2.4095734987412172E-5</v>
      </c>
      <c r="K522" s="202">
        <f t="shared" si="54"/>
        <v>1.1049999999999999E-4</v>
      </c>
      <c r="L522" s="249">
        <f t="shared" si="60"/>
        <v>4.8398999999999995E-4</v>
      </c>
      <c r="M522" s="250">
        <f t="shared" si="61"/>
        <v>4.8398999999999995E-4</v>
      </c>
      <c r="O522" s="253"/>
      <c r="P522" s="253"/>
      <c r="Q522" s="253"/>
    </row>
    <row r="523" spans="1:18" hidden="1" x14ac:dyDescent="0.2">
      <c r="A523" s="969"/>
      <c r="B523" s="248" t="s">
        <v>142</v>
      </c>
      <c r="C523" s="179">
        <v>2.5799999999999998E-4</v>
      </c>
      <c r="D523" s="179">
        <v>1.6000000000000001E-3</v>
      </c>
      <c r="E523" s="179">
        <v>1.6000000000000001E-3</v>
      </c>
      <c r="F523" s="179">
        <v>6.8000000000000005E-2</v>
      </c>
      <c r="G523" s="244">
        <f t="shared" si="57"/>
        <v>3.1106382978723404E-5</v>
      </c>
      <c r="H523" s="244">
        <f t="shared" si="58"/>
        <v>2.7200000000000002E-2</v>
      </c>
      <c r="I523" s="244">
        <f t="shared" si="58"/>
        <v>2.7200000000000002E-2</v>
      </c>
      <c r="J523" s="244">
        <f t="shared" si="59"/>
        <v>7.8024284721144171E-3</v>
      </c>
      <c r="K523" s="202">
        <f t="shared" si="54"/>
        <v>2.7200000000000002E-2</v>
      </c>
      <c r="L523" s="249">
        <f t="shared" si="60"/>
        <v>0.11913600000000001</v>
      </c>
      <c r="M523" s="250">
        <f t="shared" si="61"/>
        <v>0.11913600000000001</v>
      </c>
      <c r="O523" s="228"/>
      <c r="P523" s="253"/>
      <c r="Q523" s="253"/>
    </row>
    <row r="524" spans="1:18" hidden="1" x14ac:dyDescent="0.2">
      <c r="A524" s="969"/>
      <c r="B524" s="248" t="s">
        <v>143</v>
      </c>
      <c r="C524" s="183">
        <v>1.2899999999999999E-4</v>
      </c>
      <c r="D524" s="211">
        <v>3.4999999999999999E-6</v>
      </c>
      <c r="E524" s="211">
        <v>3.4999999999999999E-6</v>
      </c>
      <c r="F524" s="183">
        <v>1.13E-4</v>
      </c>
      <c r="G524" s="245">
        <f t="shared" si="57"/>
        <v>1.5553191489361702E-5</v>
      </c>
      <c r="H524" s="245">
        <f t="shared" si="58"/>
        <v>5.9499999999999996E-5</v>
      </c>
      <c r="I524" s="245">
        <f t="shared" si="58"/>
        <v>5.9499999999999996E-5</v>
      </c>
      <c r="J524" s="245">
        <f t="shared" si="59"/>
        <v>1.296580025513131E-5</v>
      </c>
      <c r="K524" s="205">
        <f t="shared" si="54"/>
        <v>5.9499999999999996E-5</v>
      </c>
      <c r="L524" s="211">
        <f t="shared" si="60"/>
        <v>2.6060999999999999E-4</v>
      </c>
      <c r="M524" s="254">
        <f t="shared" si="61"/>
        <v>2.6060999999999999E-4</v>
      </c>
      <c r="N524" s="228"/>
      <c r="O524" s="255"/>
      <c r="P524" s="229"/>
      <c r="Q524" s="229"/>
      <c r="R524" s="228"/>
    </row>
    <row r="525" spans="1:18" hidden="1" x14ac:dyDescent="0.2">
      <c r="A525" s="969"/>
      <c r="B525" s="248" t="s">
        <v>144</v>
      </c>
      <c r="C525" s="179">
        <v>1.2899999999999999E-4</v>
      </c>
      <c r="D525" s="179">
        <v>3.3000000000000003E-5</v>
      </c>
      <c r="E525" s="179">
        <v>3.3000000000000003E-5</v>
      </c>
      <c r="F525" s="179">
        <v>1.0999999999999999E-2</v>
      </c>
      <c r="G525" s="244">
        <f t="shared" si="57"/>
        <v>1.5553191489361702E-5</v>
      </c>
      <c r="H525" s="244">
        <f t="shared" si="58"/>
        <v>5.6100000000000008E-4</v>
      </c>
      <c r="I525" s="244">
        <f t="shared" si="58"/>
        <v>5.6100000000000008E-4</v>
      </c>
      <c r="J525" s="244">
        <f t="shared" si="59"/>
        <v>1.2621575469596851E-3</v>
      </c>
      <c r="K525" s="202">
        <f t="shared" si="54"/>
        <v>5.6100000000000008E-4</v>
      </c>
      <c r="L525" s="249">
        <f t="shared" si="60"/>
        <v>2.4571800000000006E-3</v>
      </c>
      <c r="M525" s="250">
        <f t="shared" si="61"/>
        <v>2.4571800000000006E-3</v>
      </c>
      <c r="O525" s="253"/>
      <c r="P525" s="253"/>
      <c r="Q525" s="253"/>
    </row>
    <row r="526" spans="1:18" hidden="1" x14ac:dyDescent="0.2">
      <c r="A526" s="969"/>
      <c r="B526" s="248" t="s">
        <v>145</v>
      </c>
      <c r="C526" s="179">
        <v>6.4499999999999996E-4</v>
      </c>
      <c r="D526" s="179">
        <v>2.7999999999999999E-6</v>
      </c>
      <c r="E526" s="179">
        <v>2.7999999999999999E-6</v>
      </c>
      <c r="F526" s="179"/>
      <c r="G526" s="244">
        <f t="shared" si="57"/>
        <v>7.7765957446808507E-5</v>
      </c>
      <c r="H526" s="244">
        <f t="shared" si="58"/>
        <v>4.7599999999999998E-5</v>
      </c>
      <c r="I526" s="244">
        <f t="shared" si="58"/>
        <v>4.7599999999999998E-5</v>
      </c>
      <c r="J526" s="244"/>
      <c r="K526" s="202">
        <f t="shared" si="54"/>
        <v>7.7765957446808507E-5</v>
      </c>
      <c r="L526" s="249">
        <f>K526*8760/2000</f>
        <v>3.4061489361702124E-4</v>
      </c>
      <c r="M526" s="250">
        <f>K526*8760/2000</f>
        <v>3.4061489361702124E-4</v>
      </c>
      <c r="O526" s="253"/>
      <c r="P526" s="253"/>
      <c r="Q526" s="253"/>
    </row>
    <row r="527" spans="1:18" hidden="1" x14ac:dyDescent="0.2">
      <c r="A527" s="969"/>
      <c r="B527" s="256" t="s">
        <v>146</v>
      </c>
      <c r="C527" s="179"/>
      <c r="D527" s="179"/>
      <c r="E527" s="179"/>
      <c r="F527" s="179"/>
      <c r="G527" s="244"/>
      <c r="H527" s="244"/>
      <c r="I527" s="244"/>
      <c r="J527" s="244"/>
      <c r="K527" s="207">
        <f>SUM(K477:K526)</f>
        <v>0.92913086253910782</v>
      </c>
      <c r="L527" s="207">
        <f>SUM(L477:L526)</f>
        <v>4.069593177921293</v>
      </c>
      <c r="M527" s="285">
        <f>SUM(M477:M526)</f>
        <v>4.069593177921293</v>
      </c>
      <c r="O527" s="253"/>
      <c r="P527" s="253"/>
      <c r="Q527" s="253"/>
    </row>
    <row r="528" spans="1:18" hidden="1" x14ac:dyDescent="0.2">
      <c r="A528" s="969"/>
      <c r="B528" s="256" t="s">
        <v>147</v>
      </c>
      <c r="C528" s="179">
        <v>1.5200000000000001E-3</v>
      </c>
      <c r="D528" s="179">
        <v>4.8000000000000001E-5</v>
      </c>
      <c r="E528" s="179">
        <v>4.8000000000000001E-5</v>
      </c>
      <c r="F528" s="179">
        <v>1.5100000000000001E-3</v>
      </c>
      <c r="G528" s="244">
        <f t="shared" si="57"/>
        <v>1.8326241134751774E-4</v>
      </c>
      <c r="H528" s="244">
        <f t="shared" si="58"/>
        <v>8.1599999999999999E-4</v>
      </c>
      <c r="I528" s="244">
        <f t="shared" si="58"/>
        <v>8.1599999999999999E-4</v>
      </c>
      <c r="J528" s="244">
        <f t="shared" si="59"/>
        <v>1.7325980871901132E-4</v>
      </c>
      <c r="K528" s="202">
        <f t="shared" si="54"/>
        <v>8.1599999999999999E-4</v>
      </c>
      <c r="L528" s="207">
        <f>K528*8760/2000</f>
        <v>3.5740799999999999E-3</v>
      </c>
      <c r="M528" s="286">
        <f>K528*8760/2000</f>
        <v>3.5740799999999999E-3</v>
      </c>
      <c r="O528" s="253"/>
      <c r="P528" s="253"/>
      <c r="Q528" s="253"/>
    </row>
    <row r="529" spans="1:17" hidden="1" x14ac:dyDescent="0.2">
      <c r="A529" s="969"/>
      <c r="B529" s="256" t="s">
        <v>148</v>
      </c>
      <c r="C529" s="179">
        <v>2</v>
      </c>
      <c r="D529" s="179">
        <v>0.4</v>
      </c>
      <c r="E529" s="179">
        <v>0.4</v>
      </c>
      <c r="F529" s="179">
        <v>51</v>
      </c>
      <c r="G529" s="244">
        <f t="shared" si="57"/>
        <v>0.24113475177304966</v>
      </c>
      <c r="H529" s="244">
        <f t="shared" si="58"/>
        <v>6.8000000000000007</v>
      </c>
      <c r="I529" s="244">
        <f>E529*$B$471</f>
        <v>6.8000000000000007</v>
      </c>
      <c r="J529" s="244">
        <f t="shared" si="59"/>
        <v>5.8518213540858124</v>
      </c>
      <c r="K529" s="202">
        <f t="shared" si="54"/>
        <v>6.8000000000000007</v>
      </c>
      <c r="L529" s="207">
        <f>K529*8760/2000</f>
        <v>29.784000000000002</v>
      </c>
      <c r="M529" s="286">
        <v>23</v>
      </c>
      <c r="O529" s="253"/>
      <c r="P529" s="253"/>
      <c r="Q529" s="253"/>
    </row>
    <row r="530" spans="1:17" hidden="1" x14ac:dyDescent="0.2">
      <c r="A530" s="969"/>
      <c r="B530" s="256" t="s">
        <v>149</v>
      </c>
      <c r="C530" s="179">
        <v>2</v>
      </c>
      <c r="D530" s="179">
        <v>0.5</v>
      </c>
      <c r="E530" s="179">
        <v>0.5</v>
      </c>
      <c r="F530" s="179">
        <v>51</v>
      </c>
      <c r="G530" s="244">
        <f t="shared" si="57"/>
        <v>0.24113475177304966</v>
      </c>
      <c r="H530" s="244">
        <f t="shared" si="58"/>
        <v>8.5</v>
      </c>
      <c r="I530" s="244">
        <f t="shared" si="58"/>
        <v>8.5</v>
      </c>
      <c r="J530" s="244">
        <f t="shared" si="59"/>
        <v>5.8518213540858124</v>
      </c>
      <c r="K530" s="202">
        <f t="shared" si="54"/>
        <v>8.5</v>
      </c>
      <c r="L530" s="207">
        <f>K530*8760/2000</f>
        <v>37.229999999999997</v>
      </c>
      <c r="M530" s="286">
        <v>13</v>
      </c>
      <c r="O530" s="253"/>
      <c r="P530" s="253"/>
      <c r="Q530" s="253"/>
    </row>
    <row r="531" spans="1:17" hidden="1" x14ac:dyDescent="0.2">
      <c r="A531" s="969"/>
      <c r="B531" s="256" t="s">
        <v>150</v>
      </c>
      <c r="C531" s="179">
        <v>2</v>
      </c>
      <c r="D531" s="179">
        <v>0.5</v>
      </c>
      <c r="E531" s="179">
        <v>0.5</v>
      </c>
      <c r="F531" s="179">
        <v>51</v>
      </c>
      <c r="G531" s="244">
        <f t="shared" si="57"/>
        <v>0.24113475177304966</v>
      </c>
      <c r="H531" s="244">
        <f t="shared" si="58"/>
        <v>8.5</v>
      </c>
      <c r="I531" s="244">
        <f t="shared" si="58"/>
        <v>8.5</v>
      </c>
      <c r="J531" s="244">
        <f t="shared" si="59"/>
        <v>5.8518213540858124</v>
      </c>
      <c r="K531" s="202">
        <f t="shared" si="54"/>
        <v>8.5</v>
      </c>
      <c r="L531" s="207">
        <f t="shared" ref="L531:L538" si="62">K531*8760/2000</f>
        <v>37.229999999999997</v>
      </c>
      <c r="M531" s="286">
        <v>13</v>
      </c>
      <c r="O531" s="253"/>
      <c r="P531" s="253"/>
      <c r="Q531" s="253"/>
    </row>
    <row r="532" spans="1:17" hidden="1" x14ac:dyDescent="0.2">
      <c r="A532" s="969"/>
      <c r="B532" s="256" t="s">
        <v>151</v>
      </c>
      <c r="C532" s="179">
        <v>78.5</v>
      </c>
      <c r="D532" s="179">
        <v>2</v>
      </c>
      <c r="E532" s="179">
        <v>0.48</v>
      </c>
      <c r="F532" s="179">
        <v>265</v>
      </c>
      <c r="G532" s="244">
        <f t="shared" si="57"/>
        <v>9.4645390070921991</v>
      </c>
      <c r="H532" s="244">
        <f t="shared" si="58"/>
        <v>34</v>
      </c>
      <c r="I532" s="244">
        <f t="shared" si="58"/>
        <v>8.16</v>
      </c>
      <c r="J532" s="244">
        <f t="shared" si="59"/>
        <v>30.406522722210596</v>
      </c>
      <c r="K532" s="202">
        <f t="shared" si="54"/>
        <v>34</v>
      </c>
      <c r="L532" s="207">
        <f t="shared" si="62"/>
        <v>148.91999999999999</v>
      </c>
      <c r="M532" s="287">
        <f t="shared" ref="M532:M538" si="63">K532*8760/2000</f>
        <v>148.91999999999999</v>
      </c>
      <c r="O532" s="253"/>
      <c r="P532" s="253"/>
      <c r="Q532" s="253"/>
    </row>
    <row r="533" spans="1:17" hidden="1" x14ac:dyDescent="0.2">
      <c r="A533" s="969"/>
      <c r="B533" s="256" t="s">
        <v>152</v>
      </c>
      <c r="C533" s="179">
        <v>20</v>
      </c>
      <c r="D533" s="179">
        <v>0.22</v>
      </c>
      <c r="E533" s="179">
        <v>0.22</v>
      </c>
      <c r="F533" s="179">
        <v>19</v>
      </c>
      <c r="G533" s="244">
        <f t="shared" si="57"/>
        <v>2.4113475177304968</v>
      </c>
      <c r="H533" s="244">
        <f t="shared" si="58"/>
        <v>3.74</v>
      </c>
      <c r="I533" s="244">
        <f t="shared" si="58"/>
        <v>3.74</v>
      </c>
      <c r="J533" s="244">
        <f t="shared" si="59"/>
        <v>2.1800903083849104</v>
      </c>
      <c r="K533" s="202">
        <f t="shared" si="54"/>
        <v>3.74</v>
      </c>
      <c r="L533" s="207">
        <f t="shared" si="62"/>
        <v>16.3812</v>
      </c>
      <c r="M533" s="286">
        <f t="shared" si="63"/>
        <v>16.3812</v>
      </c>
      <c r="O533" s="253"/>
      <c r="P533" s="253"/>
      <c r="Q533" s="253"/>
    </row>
    <row r="534" spans="1:17" hidden="1" x14ac:dyDescent="0.2">
      <c r="A534" s="969"/>
      <c r="B534" s="256" t="s">
        <v>153</v>
      </c>
      <c r="C534" s="179">
        <v>0.34</v>
      </c>
      <c r="D534" s="179">
        <v>1.7000000000000001E-2</v>
      </c>
      <c r="E534" s="179">
        <v>1.7000000000000001E-2</v>
      </c>
      <c r="F534" s="179">
        <v>1</v>
      </c>
      <c r="G534" s="244">
        <f t="shared" si="57"/>
        <v>4.0992907801418448E-2</v>
      </c>
      <c r="H534" s="244">
        <f>D534*$B$471</f>
        <v>0.28900000000000003</v>
      </c>
      <c r="I534" s="244">
        <f>E534*$B$471</f>
        <v>0.28900000000000003</v>
      </c>
      <c r="J534" s="244">
        <f t="shared" si="59"/>
        <v>0.11474159517815319</v>
      </c>
      <c r="K534" s="202">
        <f t="shared" si="54"/>
        <v>0.28900000000000003</v>
      </c>
      <c r="L534" s="207">
        <f t="shared" si="62"/>
        <v>1.2658200000000002</v>
      </c>
      <c r="M534" s="286">
        <f t="shared" si="63"/>
        <v>1.2658200000000002</v>
      </c>
      <c r="O534" s="253"/>
      <c r="P534" s="253"/>
      <c r="Q534" s="253"/>
    </row>
    <row r="535" spans="1:17" ht="13.5" hidden="1" thickBot="1" x14ac:dyDescent="0.25">
      <c r="A535" s="969"/>
      <c r="B535" s="264" t="s">
        <v>189</v>
      </c>
      <c r="C535" s="265">
        <v>5</v>
      </c>
      <c r="D535" s="266">
        <v>0.6</v>
      </c>
      <c r="E535" s="266">
        <v>0.6</v>
      </c>
      <c r="F535" s="266">
        <v>5</v>
      </c>
      <c r="G535" s="267">
        <f t="shared" si="57"/>
        <v>0.60283687943262421</v>
      </c>
      <c r="H535" s="267">
        <f t="shared" si="58"/>
        <v>10.199999999999999</v>
      </c>
      <c r="I535" s="267">
        <f t="shared" si="58"/>
        <v>10.199999999999999</v>
      </c>
      <c r="J535" s="267">
        <f t="shared" si="59"/>
        <v>0.57370797589076594</v>
      </c>
      <c r="K535" s="267">
        <f t="shared" si="54"/>
        <v>10.199999999999999</v>
      </c>
      <c r="L535" s="268">
        <f t="shared" si="62"/>
        <v>44.676000000000002</v>
      </c>
      <c r="M535" s="288">
        <f t="shared" si="63"/>
        <v>44.676000000000002</v>
      </c>
      <c r="O535" s="260"/>
      <c r="P535" s="260"/>
      <c r="Q535" s="260"/>
    </row>
    <row r="536" spans="1:17" hidden="1" x14ac:dyDescent="0.2">
      <c r="A536" s="969"/>
      <c r="B536" s="270" t="s">
        <v>155</v>
      </c>
      <c r="C536" s="271">
        <v>22300</v>
      </c>
      <c r="D536" s="271">
        <v>195</v>
      </c>
      <c r="E536" s="271">
        <v>195</v>
      </c>
      <c r="F536" s="271">
        <v>25000</v>
      </c>
      <c r="G536" s="272">
        <f t="shared" si="57"/>
        <v>2688.6524822695037</v>
      </c>
      <c r="H536" s="272">
        <f t="shared" ref="H536:I538" si="64">D536*$B$471</f>
        <v>3315</v>
      </c>
      <c r="I536" s="272">
        <f t="shared" si="64"/>
        <v>3315</v>
      </c>
      <c r="J536" s="272">
        <f t="shared" si="59"/>
        <v>2868.5398794538296</v>
      </c>
      <c r="K536" s="272">
        <f t="shared" si="54"/>
        <v>3315</v>
      </c>
      <c r="L536" s="289">
        <f t="shared" si="62"/>
        <v>14519.7</v>
      </c>
      <c r="M536" s="290">
        <f t="shared" si="63"/>
        <v>14519.7</v>
      </c>
      <c r="N536" s="209"/>
      <c r="O536" s="223"/>
      <c r="P536" s="209"/>
      <c r="Q536" s="209"/>
    </row>
    <row r="537" spans="1:17" hidden="1" x14ac:dyDescent="0.2">
      <c r="A537" s="969"/>
      <c r="B537" s="275" t="s">
        <v>156</v>
      </c>
      <c r="C537" s="179">
        <v>5.1999999999999998E-2</v>
      </c>
      <c r="D537" s="179">
        <v>2.1000000000000001E-2</v>
      </c>
      <c r="E537" s="179">
        <v>2.1000000000000001E-2</v>
      </c>
      <c r="F537" s="179">
        <v>1</v>
      </c>
      <c r="G537" s="202">
        <f t="shared" si="57"/>
        <v>6.2695035460992908E-3</v>
      </c>
      <c r="H537" s="202">
        <f t="shared" si="64"/>
        <v>0.35700000000000004</v>
      </c>
      <c r="I537" s="202">
        <f t="shared" si="64"/>
        <v>0.35700000000000004</v>
      </c>
      <c r="J537" s="202">
        <f t="shared" si="59"/>
        <v>0.11474159517815319</v>
      </c>
      <c r="K537" s="202">
        <f t="shared" si="54"/>
        <v>0.35700000000000004</v>
      </c>
      <c r="L537" s="276">
        <f t="shared" si="62"/>
        <v>1.56366</v>
      </c>
      <c r="M537" s="291">
        <f t="shared" si="63"/>
        <v>1.56366</v>
      </c>
      <c r="N537" s="209"/>
      <c r="O537" s="223"/>
      <c r="P537" s="209"/>
      <c r="Q537" s="209"/>
    </row>
    <row r="538" spans="1:17" hidden="1" x14ac:dyDescent="0.2">
      <c r="A538" s="969"/>
      <c r="B538" s="275" t="s">
        <v>157</v>
      </c>
      <c r="C538" s="179">
        <v>0.26</v>
      </c>
      <c r="D538" s="179">
        <v>1.2999999999999999E-2</v>
      </c>
      <c r="E538" s="179">
        <v>1.2999999999999999E-2</v>
      </c>
      <c r="F538" s="179">
        <v>0.53</v>
      </c>
      <c r="G538" s="202">
        <f t="shared" si="57"/>
        <v>3.134751773049646E-2</v>
      </c>
      <c r="H538" s="202">
        <f t="shared" si="64"/>
        <v>0.221</v>
      </c>
      <c r="I538" s="202">
        <f t="shared" si="64"/>
        <v>0.221</v>
      </c>
      <c r="J538" s="202">
        <f t="shared" si="59"/>
        <v>6.081304544442119E-2</v>
      </c>
      <c r="K538" s="202">
        <f t="shared" si="54"/>
        <v>0.221</v>
      </c>
      <c r="L538" s="276">
        <f t="shared" si="62"/>
        <v>0.96798000000000006</v>
      </c>
      <c r="M538" s="291">
        <f t="shared" si="63"/>
        <v>0.96798000000000006</v>
      </c>
      <c r="N538" s="209"/>
      <c r="O538" s="223"/>
      <c r="P538" s="209"/>
      <c r="Q538" s="209"/>
    </row>
    <row r="539" spans="1:17" hidden="1" x14ac:dyDescent="0.2">
      <c r="A539" s="969"/>
      <c r="B539" s="275" t="s">
        <v>158</v>
      </c>
      <c r="C539" s="211"/>
      <c r="D539" s="211"/>
      <c r="E539" s="211"/>
      <c r="F539" s="211"/>
      <c r="G539" s="211">
        <f t="shared" ref="G539:M539" si="65">SUM(G536:G538)</f>
        <v>2688.6900992907804</v>
      </c>
      <c r="H539" s="211">
        <f t="shared" si="65"/>
        <v>3315.578</v>
      </c>
      <c r="I539" s="211">
        <f t="shared" si="65"/>
        <v>3315.578</v>
      </c>
      <c r="J539" s="211">
        <f t="shared" si="65"/>
        <v>2868.7154340944521</v>
      </c>
      <c r="K539" s="211">
        <f t="shared" si="65"/>
        <v>3315.578</v>
      </c>
      <c r="L539" s="292">
        <f t="shared" si="65"/>
        <v>14522.23164</v>
      </c>
      <c r="M539" s="293">
        <f t="shared" si="65"/>
        <v>14522.23164</v>
      </c>
      <c r="N539" s="209"/>
      <c r="O539" s="223"/>
      <c r="P539" s="209"/>
      <c r="Q539" s="209"/>
    </row>
    <row r="540" spans="1:17" ht="13.5" hidden="1" thickBot="1" x14ac:dyDescent="0.25">
      <c r="A540" s="970"/>
      <c r="B540" s="278" t="s">
        <v>159</v>
      </c>
      <c r="C540" s="279"/>
      <c r="D540" s="280"/>
      <c r="E540" s="280"/>
      <c r="F540" s="280"/>
      <c r="G540" s="280">
        <f t="shared" ref="G540:M540" si="66">G536+(G537*21)+(G538*310)</f>
        <v>2698.5018723404255</v>
      </c>
      <c r="H540" s="280">
        <f t="shared" si="66"/>
        <v>3391.0070000000001</v>
      </c>
      <c r="I540" s="280">
        <f t="shared" si="66"/>
        <v>3391.0070000000001</v>
      </c>
      <c r="J540" s="280">
        <f t="shared" si="66"/>
        <v>2889.8014970403415</v>
      </c>
      <c r="K540" s="280">
        <f t="shared" si="66"/>
        <v>3391.0070000000001</v>
      </c>
      <c r="L540" s="294">
        <f t="shared" si="66"/>
        <v>14852.61066</v>
      </c>
      <c r="M540" s="295">
        <f t="shared" si="66"/>
        <v>14852.61066</v>
      </c>
      <c r="N540" s="209"/>
      <c r="O540" s="223"/>
      <c r="P540" s="209"/>
      <c r="Q540" s="209"/>
    </row>
    <row r="541" spans="1:17" hidden="1" x14ac:dyDescent="0.2"/>
    <row r="542" spans="1:17" hidden="1" x14ac:dyDescent="0.2">
      <c r="A542" s="296" t="s">
        <v>206</v>
      </c>
    </row>
    <row r="543" spans="1:17" hidden="1" x14ac:dyDescent="0.2">
      <c r="A543" s="297" t="s">
        <v>207</v>
      </c>
      <c r="B543" s="298"/>
      <c r="C543" s="298"/>
      <c r="D543" s="298"/>
      <c r="E543" s="298"/>
      <c r="F543" s="298"/>
      <c r="G543" s="298"/>
      <c r="H543" s="298"/>
      <c r="I543" s="298"/>
      <c r="L543" s="172"/>
    </row>
    <row r="544" spans="1:17" hidden="1" x14ac:dyDescent="0.2">
      <c r="A544" s="297" t="s">
        <v>208</v>
      </c>
      <c r="B544" s="298"/>
      <c r="C544" s="298"/>
      <c r="D544" s="298"/>
      <c r="E544" s="298"/>
      <c r="F544" s="298"/>
      <c r="G544" s="298"/>
      <c r="H544" s="298"/>
      <c r="I544" s="298"/>
    </row>
    <row r="545" spans="1:18" hidden="1" x14ac:dyDescent="0.2">
      <c r="A545" s="299" t="s">
        <v>209</v>
      </c>
      <c r="B545" s="300"/>
      <c r="C545" s="300"/>
      <c r="D545" s="300"/>
      <c r="E545" s="300"/>
      <c r="F545" s="300"/>
      <c r="G545" s="300"/>
      <c r="H545" s="300"/>
      <c r="I545" s="300"/>
      <c r="J545" s="300"/>
      <c r="K545" s="300"/>
      <c r="L545" s="300"/>
      <c r="M545" s="300"/>
      <c r="N545" s="300"/>
      <c r="O545" s="300"/>
    </row>
    <row r="546" spans="1:18" hidden="1" x14ac:dyDescent="0.2">
      <c r="A546" s="220" t="s">
        <v>201</v>
      </c>
    </row>
    <row r="547" spans="1:18" hidden="1" x14ac:dyDescent="0.2"/>
    <row r="548" spans="1:18" hidden="1" x14ac:dyDescent="0.2">
      <c r="A548" s="227" t="s">
        <v>210</v>
      </c>
      <c r="B548" s="228"/>
      <c r="C548" s="228"/>
      <c r="D548" s="228"/>
      <c r="E548" s="228"/>
      <c r="F548" s="228"/>
      <c r="G548" s="228"/>
      <c r="H548" s="228"/>
      <c r="I548" s="228"/>
      <c r="J548" s="228"/>
      <c r="K548" s="228"/>
      <c r="L548" s="228"/>
      <c r="M548" s="228"/>
      <c r="N548" s="228"/>
      <c r="O548" s="228"/>
      <c r="P548" s="228"/>
      <c r="Q548" s="228"/>
      <c r="R548" s="228"/>
    </row>
    <row r="549" spans="1:18" hidden="1" x14ac:dyDescent="0.2">
      <c r="A549" s="228" t="s">
        <v>91</v>
      </c>
      <c r="B549" s="228"/>
      <c r="C549" s="228">
        <v>8</v>
      </c>
      <c r="D549" s="228" t="s">
        <v>52</v>
      </c>
      <c r="E549" s="228"/>
      <c r="F549" s="228"/>
      <c r="G549" s="228"/>
      <c r="H549" s="228"/>
      <c r="I549" s="228"/>
      <c r="J549" s="228"/>
      <c r="K549" s="228"/>
      <c r="L549" s="228"/>
      <c r="M549" s="228"/>
      <c r="N549" s="228"/>
      <c r="O549" s="228"/>
      <c r="P549" s="228"/>
      <c r="Q549" s="228"/>
      <c r="R549" s="228"/>
    </row>
    <row r="550" spans="1:18" hidden="1" x14ac:dyDescent="0.2">
      <c r="A550" s="228" t="s">
        <v>98</v>
      </c>
      <c r="B550" s="228"/>
      <c r="C550" s="228">
        <f>C549/C551</f>
        <v>8.0000000000000002E-3</v>
      </c>
      <c r="D550" s="228" t="s">
        <v>99</v>
      </c>
      <c r="E550" s="228"/>
      <c r="F550" s="228"/>
      <c r="G550" s="228"/>
      <c r="H550" s="228"/>
      <c r="I550" s="228"/>
      <c r="J550" s="228"/>
      <c r="K550" s="228"/>
      <c r="L550" s="228"/>
      <c r="M550" s="228"/>
      <c r="N550" s="228"/>
      <c r="O550" s="228"/>
      <c r="P550" s="228"/>
      <c r="Q550" s="228"/>
      <c r="R550" s="228"/>
    </row>
    <row r="551" spans="1:18" ht="13.5" hidden="1" thickBot="1" x14ac:dyDescent="0.25">
      <c r="A551" s="228" t="s">
        <v>100</v>
      </c>
      <c r="B551" s="228"/>
      <c r="C551" s="228">
        <v>1000</v>
      </c>
      <c r="D551" s="228" t="s">
        <v>101</v>
      </c>
      <c r="E551" s="228"/>
      <c r="F551" s="228"/>
      <c r="G551" s="228"/>
      <c r="H551" s="228"/>
      <c r="I551" s="228"/>
      <c r="J551" s="228"/>
      <c r="K551" s="228"/>
      <c r="L551" s="228"/>
      <c r="M551" s="228"/>
      <c r="N551" s="228"/>
      <c r="O551" s="228"/>
      <c r="P551" s="228"/>
      <c r="Q551" s="228"/>
      <c r="R551" s="228"/>
    </row>
    <row r="552" spans="1:18" ht="51.75" hidden="1" thickBot="1" x14ac:dyDescent="0.25">
      <c r="A552" s="235" t="s">
        <v>102</v>
      </c>
      <c r="B552" s="236" t="s">
        <v>10</v>
      </c>
      <c r="C552" s="301" t="s">
        <v>103</v>
      </c>
      <c r="D552" s="240" t="s">
        <v>211</v>
      </c>
      <c r="E552" s="239" t="s">
        <v>110</v>
      </c>
      <c r="F552" s="242" t="s">
        <v>111</v>
      </c>
    </row>
    <row r="553" spans="1:18" hidden="1" x14ac:dyDescent="0.2">
      <c r="A553" s="968" t="s">
        <v>212</v>
      </c>
      <c r="B553" s="302" t="s">
        <v>117</v>
      </c>
      <c r="C553" s="179">
        <v>2.1299999999999999E-3</v>
      </c>
      <c r="D553" s="179">
        <f t="shared" ref="D553:D596" si="67">C553*$C$550</f>
        <v>1.7039999999999999E-5</v>
      </c>
      <c r="E553" s="179">
        <f>D553*8760/2000</f>
        <v>7.4635199999999993E-5</v>
      </c>
      <c r="F553" s="251">
        <f>E553</f>
        <v>7.4635199999999993E-5</v>
      </c>
    </row>
    <row r="554" spans="1:18" hidden="1" x14ac:dyDescent="0.2">
      <c r="A554" s="969"/>
      <c r="B554" s="302" t="s">
        <v>124</v>
      </c>
      <c r="C554" s="179">
        <v>1.1999999999999999E-3</v>
      </c>
      <c r="D554" s="179">
        <f t="shared" si="67"/>
        <v>9.5999999999999996E-6</v>
      </c>
      <c r="E554" s="179">
        <f t="shared" ref="E554:E596" si="68">D554*8760/2000</f>
        <v>4.2047999999999995E-5</v>
      </c>
      <c r="F554" s="251">
        <f t="shared" ref="F554:F596" si="69">E554</f>
        <v>4.2047999999999995E-5</v>
      </c>
    </row>
    <row r="555" spans="1:18" hidden="1" x14ac:dyDescent="0.2">
      <c r="A555" s="969"/>
      <c r="B555" s="303" t="s">
        <v>128</v>
      </c>
      <c r="C555" s="179">
        <v>7.4999999999999997E-2</v>
      </c>
      <c r="D555" s="179">
        <f t="shared" si="67"/>
        <v>5.9999999999999995E-4</v>
      </c>
      <c r="E555" s="179">
        <f t="shared" si="68"/>
        <v>2.6279999999999997E-3</v>
      </c>
      <c r="F555" s="251">
        <f t="shared" si="69"/>
        <v>2.6279999999999997E-3</v>
      </c>
    </row>
    <row r="556" spans="1:18" hidden="1" x14ac:dyDescent="0.2">
      <c r="A556" s="969"/>
      <c r="B556" s="303" t="s">
        <v>129</v>
      </c>
      <c r="C556" s="179">
        <v>1.8</v>
      </c>
      <c r="D556" s="179">
        <f t="shared" si="67"/>
        <v>1.4400000000000001E-2</v>
      </c>
      <c r="E556" s="179">
        <f t="shared" si="68"/>
        <v>6.3072000000000003E-2</v>
      </c>
      <c r="F556" s="251">
        <f t="shared" si="69"/>
        <v>6.3072000000000003E-2</v>
      </c>
    </row>
    <row r="557" spans="1:18" hidden="1" x14ac:dyDescent="0.2">
      <c r="A557" s="969"/>
      <c r="B557" s="303" t="s">
        <v>131</v>
      </c>
      <c r="C557" s="179">
        <v>6.0999999999999997E-4</v>
      </c>
      <c r="D557" s="179">
        <f t="shared" si="67"/>
        <v>4.8799999999999999E-6</v>
      </c>
      <c r="E557" s="179">
        <f t="shared" si="68"/>
        <v>2.13744E-5</v>
      </c>
      <c r="F557" s="251">
        <f t="shared" si="69"/>
        <v>2.13744E-5</v>
      </c>
    </row>
    <row r="558" spans="1:18" hidden="1" x14ac:dyDescent="0.2">
      <c r="A558" s="969"/>
      <c r="B558" s="303" t="s">
        <v>134</v>
      </c>
      <c r="C558" s="179">
        <v>3.3999999999999998E-3</v>
      </c>
      <c r="D558" s="179">
        <f t="shared" si="67"/>
        <v>2.72E-5</v>
      </c>
      <c r="E558" s="179">
        <f t="shared" si="68"/>
        <v>1.1913600000000001E-4</v>
      </c>
      <c r="F558" s="251">
        <f t="shared" si="69"/>
        <v>1.1913600000000001E-4</v>
      </c>
    </row>
    <row r="559" spans="1:18" hidden="1" x14ac:dyDescent="0.2">
      <c r="A559" s="969"/>
      <c r="B559" s="303" t="s">
        <v>113</v>
      </c>
      <c r="C559" s="179">
        <v>1.7999999999999999E-6</v>
      </c>
      <c r="D559" s="179">
        <f t="shared" si="67"/>
        <v>1.44E-8</v>
      </c>
      <c r="E559" s="179">
        <f t="shared" si="68"/>
        <v>6.3071999999999997E-8</v>
      </c>
      <c r="F559" s="251">
        <f t="shared" si="69"/>
        <v>6.3071999999999997E-8</v>
      </c>
    </row>
    <row r="560" spans="1:18" hidden="1" x14ac:dyDescent="0.2">
      <c r="A560" s="969"/>
      <c r="B560" s="303" t="s">
        <v>114</v>
      </c>
      <c r="C560" s="179">
        <v>1.7999999999999999E-6</v>
      </c>
      <c r="D560" s="179">
        <f t="shared" si="67"/>
        <v>1.44E-8</v>
      </c>
      <c r="E560" s="179">
        <f t="shared" si="68"/>
        <v>6.3071999999999997E-8</v>
      </c>
      <c r="F560" s="251">
        <f t="shared" si="69"/>
        <v>6.3071999999999997E-8</v>
      </c>
    </row>
    <row r="561" spans="1:6" hidden="1" x14ac:dyDescent="0.2">
      <c r="A561" s="969"/>
      <c r="B561" s="303" t="s">
        <v>115</v>
      </c>
      <c r="C561" s="179">
        <v>2.3999999999999999E-6</v>
      </c>
      <c r="D561" s="179">
        <f t="shared" si="67"/>
        <v>1.92E-8</v>
      </c>
      <c r="E561" s="179">
        <f t="shared" si="68"/>
        <v>8.4096000000000001E-8</v>
      </c>
      <c r="F561" s="251">
        <f t="shared" si="69"/>
        <v>8.4096000000000001E-8</v>
      </c>
    </row>
    <row r="562" spans="1:6" hidden="1" x14ac:dyDescent="0.2">
      <c r="A562" s="969"/>
      <c r="B562" s="303" t="s">
        <v>116</v>
      </c>
      <c r="C562" s="179">
        <v>1.7999999999999999E-6</v>
      </c>
      <c r="D562" s="179">
        <f t="shared" si="67"/>
        <v>1.44E-8</v>
      </c>
      <c r="E562" s="179">
        <f t="shared" si="68"/>
        <v>6.3071999999999997E-8</v>
      </c>
      <c r="F562" s="251">
        <f t="shared" si="69"/>
        <v>6.3071999999999997E-8</v>
      </c>
    </row>
    <row r="563" spans="1:6" hidden="1" x14ac:dyDescent="0.2">
      <c r="A563" s="969"/>
      <c r="B563" s="303" t="s">
        <v>118</v>
      </c>
      <c r="C563" s="179">
        <v>1.1999999999999999E-6</v>
      </c>
      <c r="D563" s="179">
        <f t="shared" si="67"/>
        <v>9.5999999999999999E-9</v>
      </c>
      <c r="E563" s="179">
        <f t="shared" si="68"/>
        <v>4.2048E-8</v>
      </c>
      <c r="F563" s="251">
        <f t="shared" si="69"/>
        <v>4.2048E-8</v>
      </c>
    </row>
    <row r="564" spans="1:6" hidden="1" x14ac:dyDescent="0.2">
      <c r="A564" s="969"/>
      <c r="B564" s="303" t="s">
        <v>213</v>
      </c>
      <c r="C564" s="179">
        <v>1.7999999999999999E-6</v>
      </c>
      <c r="D564" s="179">
        <f t="shared" si="67"/>
        <v>1.44E-8</v>
      </c>
      <c r="E564" s="179">
        <f t="shared" si="68"/>
        <v>6.3071999999999997E-8</v>
      </c>
      <c r="F564" s="251">
        <f t="shared" si="69"/>
        <v>6.3071999999999997E-8</v>
      </c>
    </row>
    <row r="565" spans="1:6" hidden="1" x14ac:dyDescent="0.2">
      <c r="A565" s="969"/>
      <c r="B565" s="303" t="s">
        <v>120</v>
      </c>
      <c r="C565" s="179">
        <v>1.1999999999999999E-6</v>
      </c>
      <c r="D565" s="179">
        <f t="shared" si="67"/>
        <v>9.5999999999999999E-9</v>
      </c>
      <c r="E565" s="179">
        <f t="shared" si="68"/>
        <v>4.2048E-8</v>
      </c>
      <c r="F565" s="251">
        <f t="shared" si="69"/>
        <v>4.2048E-8</v>
      </c>
    </row>
    <row r="566" spans="1:6" hidden="1" x14ac:dyDescent="0.2">
      <c r="A566" s="969"/>
      <c r="B566" s="303" t="s">
        <v>122</v>
      </c>
      <c r="C566" s="179">
        <v>1.7999999999999999E-6</v>
      </c>
      <c r="D566" s="179">
        <f t="shared" si="67"/>
        <v>1.44E-8</v>
      </c>
      <c r="E566" s="179">
        <f t="shared" si="68"/>
        <v>6.3071999999999997E-8</v>
      </c>
      <c r="F566" s="251">
        <f t="shared" si="69"/>
        <v>6.3071999999999997E-8</v>
      </c>
    </row>
    <row r="567" spans="1:6" hidden="1" x14ac:dyDescent="0.2">
      <c r="A567" s="969"/>
      <c r="B567" s="303" t="s">
        <v>123</v>
      </c>
      <c r="C567" s="179">
        <v>1.1999999999999999E-6</v>
      </c>
      <c r="D567" s="179">
        <f t="shared" si="67"/>
        <v>9.5999999999999999E-9</v>
      </c>
      <c r="E567" s="179">
        <f t="shared" si="68"/>
        <v>4.2048E-8</v>
      </c>
      <c r="F567" s="251">
        <f t="shared" si="69"/>
        <v>4.2048E-8</v>
      </c>
    </row>
    <row r="568" spans="1:6" hidden="1" x14ac:dyDescent="0.2">
      <c r="A568" s="969"/>
      <c r="B568" s="303" t="s">
        <v>214</v>
      </c>
      <c r="C568" s="179">
        <v>1.5999999999999999E-5</v>
      </c>
      <c r="D568" s="179">
        <f t="shared" si="67"/>
        <v>1.2800000000000001E-7</v>
      </c>
      <c r="E568" s="179">
        <f t="shared" si="68"/>
        <v>5.6064000000000002E-7</v>
      </c>
      <c r="F568" s="251">
        <f t="shared" si="69"/>
        <v>5.6064000000000002E-7</v>
      </c>
    </row>
    <row r="569" spans="1:6" hidden="1" x14ac:dyDescent="0.2">
      <c r="A569" s="969"/>
      <c r="B569" s="303" t="s">
        <v>126</v>
      </c>
      <c r="C569" s="179">
        <v>3.0000000000000001E-6</v>
      </c>
      <c r="D569" s="179">
        <f t="shared" si="67"/>
        <v>2.4E-8</v>
      </c>
      <c r="E569" s="179">
        <f t="shared" si="68"/>
        <v>1.0511999999999999E-7</v>
      </c>
      <c r="F569" s="251">
        <f t="shared" si="69"/>
        <v>1.0511999999999999E-7</v>
      </c>
    </row>
    <row r="570" spans="1:6" hidden="1" x14ac:dyDescent="0.2">
      <c r="A570" s="969"/>
      <c r="B570" s="303" t="s">
        <v>127</v>
      </c>
      <c r="C570" s="179">
        <v>2.7999999999999999E-6</v>
      </c>
      <c r="D570" s="179">
        <f t="shared" si="67"/>
        <v>2.2399999999999999E-8</v>
      </c>
      <c r="E570" s="179">
        <f t="shared" si="68"/>
        <v>9.8111999999999999E-8</v>
      </c>
      <c r="F570" s="251">
        <f t="shared" si="69"/>
        <v>9.8111999999999999E-8</v>
      </c>
    </row>
    <row r="571" spans="1:6" hidden="1" x14ac:dyDescent="0.2">
      <c r="A571" s="969"/>
      <c r="B571" s="303" t="s">
        <v>215</v>
      </c>
      <c r="C571" s="179">
        <v>1.7999999999999999E-6</v>
      </c>
      <c r="D571" s="179">
        <f t="shared" si="67"/>
        <v>1.44E-8</v>
      </c>
      <c r="E571" s="179">
        <f t="shared" si="68"/>
        <v>6.3071999999999997E-8</v>
      </c>
      <c r="F571" s="251">
        <f t="shared" si="69"/>
        <v>6.3071999999999997E-8</v>
      </c>
    </row>
    <row r="572" spans="1:6" hidden="1" x14ac:dyDescent="0.2">
      <c r="A572" s="969"/>
      <c r="B572" s="303" t="s">
        <v>216</v>
      </c>
      <c r="C572" s="179">
        <v>2.4000000000000001E-5</v>
      </c>
      <c r="D572" s="179">
        <f t="shared" si="67"/>
        <v>1.92E-7</v>
      </c>
      <c r="E572" s="179">
        <f t="shared" si="68"/>
        <v>8.4095999999999993E-7</v>
      </c>
      <c r="F572" s="251">
        <f t="shared" si="69"/>
        <v>8.4095999999999993E-7</v>
      </c>
    </row>
    <row r="573" spans="1:6" hidden="1" x14ac:dyDescent="0.2">
      <c r="A573" s="969"/>
      <c r="B573" s="303" t="s">
        <v>217</v>
      </c>
      <c r="C573" s="179">
        <v>1.7999999999999999E-6</v>
      </c>
      <c r="D573" s="179">
        <f t="shared" si="67"/>
        <v>1.44E-8</v>
      </c>
      <c r="E573" s="179">
        <f t="shared" si="68"/>
        <v>6.3071999999999997E-8</v>
      </c>
      <c r="F573" s="251">
        <f t="shared" si="69"/>
        <v>6.3071999999999997E-8</v>
      </c>
    </row>
    <row r="574" spans="1:6" hidden="1" x14ac:dyDescent="0.2">
      <c r="A574" s="969"/>
      <c r="B574" s="303" t="s">
        <v>132</v>
      </c>
      <c r="C574" s="179">
        <v>1.7E-5</v>
      </c>
      <c r="D574" s="179">
        <f t="shared" si="67"/>
        <v>1.36E-7</v>
      </c>
      <c r="E574" s="179">
        <f t="shared" si="68"/>
        <v>5.9568000000000005E-7</v>
      </c>
      <c r="F574" s="251">
        <f t="shared" si="69"/>
        <v>5.9568000000000005E-7</v>
      </c>
    </row>
    <row r="575" spans="1:6" hidden="1" x14ac:dyDescent="0.2">
      <c r="A575" s="969"/>
      <c r="B575" s="303" t="s">
        <v>133</v>
      </c>
      <c r="C575" s="179">
        <v>5.0000000000000004E-6</v>
      </c>
      <c r="D575" s="179">
        <f t="shared" si="67"/>
        <v>4.0000000000000001E-8</v>
      </c>
      <c r="E575" s="179">
        <f t="shared" si="68"/>
        <v>1.7520000000000001E-7</v>
      </c>
      <c r="F575" s="251">
        <f t="shared" si="69"/>
        <v>1.7520000000000001E-7</v>
      </c>
    </row>
    <row r="576" spans="1:6" hidden="1" x14ac:dyDescent="0.2">
      <c r="A576" s="969"/>
      <c r="B576" s="303" t="s">
        <v>137</v>
      </c>
      <c r="C576" s="179">
        <v>2.0000000000000001E-4</v>
      </c>
      <c r="D576" s="179">
        <f t="shared" si="67"/>
        <v>1.6000000000000001E-6</v>
      </c>
      <c r="E576" s="179">
        <f t="shared" si="68"/>
        <v>7.0080000000000005E-6</v>
      </c>
      <c r="F576" s="251">
        <f t="shared" si="69"/>
        <v>7.0080000000000005E-6</v>
      </c>
    </row>
    <row r="577" spans="1:18" hidden="1" x14ac:dyDescent="0.2">
      <c r="A577" s="969"/>
      <c r="B577" s="303" t="s">
        <v>138</v>
      </c>
      <c r="C577" s="179">
        <v>1.2E-5</v>
      </c>
      <c r="D577" s="179">
        <f t="shared" si="67"/>
        <v>9.5999999999999999E-8</v>
      </c>
      <c r="E577" s="179">
        <f t="shared" si="68"/>
        <v>4.2047999999999996E-7</v>
      </c>
      <c r="F577" s="251">
        <f t="shared" si="69"/>
        <v>4.2047999999999996E-7</v>
      </c>
    </row>
    <row r="578" spans="1:18" hidden="1" x14ac:dyDescent="0.2">
      <c r="A578" s="969"/>
      <c r="B578" s="303" t="s">
        <v>139</v>
      </c>
      <c r="C578" s="179">
        <v>1.1000000000000001E-3</v>
      </c>
      <c r="D578" s="179">
        <f t="shared" si="67"/>
        <v>8.8000000000000004E-6</v>
      </c>
      <c r="E578" s="179">
        <f t="shared" si="68"/>
        <v>3.8544000000000002E-5</v>
      </c>
      <c r="F578" s="251">
        <f t="shared" si="69"/>
        <v>3.8544000000000002E-5</v>
      </c>
    </row>
    <row r="579" spans="1:18" hidden="1" x14ac:dyDescent="0.2">
      <c r="A579" s="969"/>
      <c r="B579" s="303" t="s">
        <v>140</v>
      </c>
      <c r="C579" s="179">
        <v>1.4E-3</v>
      </c>
      <c r="D579" s="179">
        <f t="shared" si="67"/>
        <v>1.1199999999999999E-5</v>
      </c>
      <c r="E579" s="179">
        <f t="shared" si="68"/>
        <v>4.9055999999999992E-5</v>
      </c>
      <c r="F579" s="251">
        <f t="shared" si="69"/>
        <v>4.9055999999999992E-5</v>
      </c>
    </row>
    <row r="580" spans="1:18" hidden="1" x14ac:dyDescent="0.2">
      <c r="A580" s="969"/>
      <c r="B580" s="303" t="s">
        <v>141</v>
      </c>
      <c r="C580" s="179">
        <v>8.3999999999999995E-5</v>
      </c>
      <c r="D580" s="179">
        <f t="shared" si="67"/>
        <v>6.7199999999999998E-7</v>
      </c>
      <c r="E580" s="179">
        <f t="shared" si="68"/>
        <v>2.9433599999999998E-6</v>
      </c>
      <c r="F580" s="251">
        <f t="shared" si="69"/>
        <v>2.9433599999999998E-6</v>
      </c>
    </row>
    <row r="581" spans="1:18" hidden="1" x14ac:dyDescent="0.2">
      <c r="A581" s="969"/>
      <c r="B581" s="303" t="s">
        <v>142</v>
      </c>
      <c r="C581" s="179">
        <v>3.8000000000000002E-4</v>
      </c>
      <c r="D581" s="179">
        <f t="shared" si="67"/>
        <v>3.0400000000000001E-6</v>
      </c>
      <c r="E581" s="179">
        <f t="shared" si="68"/>
        <v>1.3315200000000001E-5</v>
      </c>
      <c r="F581" s="251">
        <f t="shared" si="69"/>
        <v>1.3315200000000001E-5</v>
      </c>
      <c r="H581" s="228"/>
    </row>
    <row r="582" spans="1:18" hidden="1" x14ac:dyDescent="0.2">
      <c r="A582" s="969"/>
      <c r="B582" s="303" t="s">
        <v>143</v>
      </c>
      <c r="C582" s="183">
        <v>2.5999999999999998E-4</v>
      </c>
      <c r="D582" s="183">
        <f t="shared" si="67"/>
        <v>2.08E-6</v>
      </c>
      <c r="E582" s="183">
        <f t="shared" si="68"/>
        <v>9.1104000000000001E-6</v>
      </c>
      <c r="F582" s="304">
        <f t="shared" si="69"/>
        <v>9.1104000000000001E-6</v>
      </c>
      <c r="G582" s="228"/>
      <c r="H582" s="255"/>
      <c r="I582" s="229"/>
      <c r="J582" s="228"/>
      <c r="K582" s="228"/>
      <c r="L582" s="228"/>
      <c r="M582" s="228"/>
      <c r="N582" s="228"/>
      <c r="O582" s="228"/>
      <c r="P582" s="228"/>
      <c r="Q582" s="228"/>
      <c r="R582" s="228"/>
    </row>
    <row r="583" spans="1:18" hidden="1" x14ac:dyDescent="0.2">
      <c r="A583" s="969"/>
      <c r="B583" s="303" t="s">
        <v>144</v>
      </c>
      <c r="C583" s="179">
        <v>2.0999999999999999E-3</v>
      </c>
      <c r="D583" s="179">
        <f t="shared" si="67"/>
        <v>1.6799999999999998E-5</v>
      </c>
      <c r="E583" s="179">
        <f t="shared" si="68"/>
        <v>7.3583999999999992E-5</v>
      </c>
      <c r="F583" s="251">
        <f t="shared" si="69"/>
        <v>7.3583999999999992E-5</v>
      </c>
    </row>
    <row r="584" spans="1:18" hidden="1" x14ac:dyDescent="0.2">
      <c r="A584" s="969"/>
      <c r="B584" s="303" t="s">
        <v>145</v>
      </c>
      <c r="C584" s="179">
        <v>2.4000000000000001E-5</v>
      </c>
      <c r="D584" s="179">
        <f t="shared" si="67"/>
        <v>1.92E-7</v>
      </c>
      <c r="E584" s="179">
        <f t="shared" si="68"/>
        <v>8.4095999999999993E-7</v>
      </c>
      <c r="F584" s="251">
        <f t="shared" si="69"/>
        <v>8.4095999999999993E-7</v>
      </c>
    </row>
    <row r="585" spans="1:18" hidden="1" x14ac:dyDescent="0.2">
      <c r="A585" s="969"/>
      <c r="B585" s="305" t="s">
        <v>146</v>
      </c>
      <c r="C585" s="179"/>
      <c r="D585" s="179">
        <f>SUM(D553:D584)</f>
        <v>1.5103891199999995E-2</v>
      </c>
      <c r="E585" s="179">
        <f>SUM(E553:E584)</f>
        <v>6.6155043455999971E-2</v>
      </c>
      <c r="F585" s="306">
        <f>SUM(F553:F584)</f>
        <v>6.6155043455999971E-2</v>
      </c>
    </row>
    <row r="586" spans="1:18" hidden="1" x14ac:dyDescent="0.2">
      <c r="A586" s="969"/>
      <c r="B586" s="305" t="s">
        <v>147</v>
      </c>
      <c r="C586" s="179">
        <v>5.0000000000000001E-4</v>
      </c>
      <c r="D586" s="179">
        <f t="shared" si="67"/>
        <v>3.9999999999999998E-6</v>
      </c>
      <c r="E586" s="179">
        <f t="shared" si="68"/>
        <v>1.7520000000000002E-5</v>
      </c>
      <c r="F586" s="306">
        <f t="shared" si="69"/>
        <v>1.7520000000000002E-5</v>
      </c>
    </row>
    <row r="587" spans="1:18" hidden="1" x14ac:dyDescent="0.2">
      <c r="A587" s="969"/>
      <c r="B587" s="305" t="s">
        <v>148</v>
      </c>
      <c r="C587" s="179">
        <v>7.6</v>
      </c>
      <c r="D587" s="263">
        <f t="shared" si="67"/>
        <v>6.08E-2</v>
      </c>
      <c r="E587" s="263">
        <f t="shared" si="68"/>
        <v>0.26630399999999999</v>
      </c>
      <c r="F587" s="287">
        <f t="shared" si="69"/>
        <v>0.26630399999999999</v>
      </c>
    </row>
    <row r="588" spans="1:18" hidden="1" x14ac:dyDescent="0.2">
      <c r="A588" s="969"/>
      <c r="B588" s="305" t="s">
        <v>149</v>
      </c>
      <c r="C588" s="179">
        <v>7.6</v>
      </c>
      <c r="D588" s="263">
        <f t="shared" si="67"/>
        <v>6.08E-2</v>
      </c>
      <c r="E588" s="263">
        <f t="shared" si="68"/>
        <v>0.26630399999999999</v>
      </c>
      <c r="F588" s="287">
        <f t="shared" si="69"/>
        <v>0.26630399999999999</v>
      </c>
    </row>
    <row r="589" spans="1:18" hidden="1" x14ac:dyDescent="0.2">
      <c r="A589" s="969"/>
      <c r="B589" s="305" t="s">
        <v>150</v>
      </c>
      <c r="C589" s="179">
        <v>7.6</v>
      </c>
      <c r="D589" s="263">
        <f t="shared" si="67"/>
        <v>6.08E-2</v>
      </c>
      <c r="E589" s="263">
        <f t="shared" si="68"/>
        <v>0.26630399999999999</v>
      </c>
      <c r="F589" s="287">
        <f t="shared" si="69"/>
        <v>0.26630399999999999</v>
      </c>
    </row>
    <row r="590" spans="1:18" hidden="1" x14ac:dyDescent="0.2">
      <c r="A590" s="969"/>
      <c r="B590" s="305" t="s">
        <v>151</v>
      </c>
      <c r="C590" s="179">
        <v>0.6</v>
      </c>
      <c r="D590" s="307">
        <f t="shared" si="67"/>
        <v>4.7999999999999996E-3</v>
      </c>
      <c r="E590" s="263">
        <f t="shared" si="68"/>
        <v>2.1023999999999998E-2</v>
      </c>
      <c r="F590" s="287">
        <f t="shared" si="69"/>
        <v>2.1023999999999998E-2</v>
      </c>
    </row>
    <row r="591" spans="1:18" hidden="1" x14ac:dyDescent="0.2">
      <c r="A591" s="969"/>
      <c r="B591" s="305" t="s">
        <v>152</v>
      </c>
      <c r="C591" s="179">
        <v>100</v>
      </c>
      <c r="D591" s="263">
        <f t="shared" si="67"/>
        <v>0.8</v>
      </c>
      <c r="E591" s="263">
        <f t="shared" si="68"/>
        <v>3.504</v>
      </c>
      <c r="F591" s="287">
        <f t="shared" si="69"/>
        <v>3.504</v>
      </c>
    </row>
    <row r="592" spans="1:18" hidden="1" x14ac:dyDescent="0.2">
      <c r="A592" s="969"/>
      <c r="B592" s="305" t="s">
        <v>153</v>
      </c>
      <c r="C592" s="179">
        <v>5.5</v>
      </c>
      <c r="D592" s="263">
        <f t="shared" si="67"/>
        <v>4.3999999999999997E-2</v>
      </c>
      <c r="E592" s="263">
        <f t="shared" si="68"/>
        <v>0.19272</v>
      </c>
      <c r="F592" s="287">
        <f t="shared" si="69"/>
        <v>0.19272</v>
      </c>
    </row>
    <row r="593" spans="1:6" ht="13.5" hidden="1" thickBot="1" x14ac:dyDescent="0.25">
      <c r="A593" s="969"/>
      <c r="B593" s="308" t="s">
        <v>154</v>
      </c>
      <c r="C593" s="266">
        <v>84</v>
      </c>
      <c r="D593" s="309">
        <f t="shared" si="67"/>
        <v>0.67200000000000004</v>
      </c>
      <c r="E593" s="309">
        <f t="shared" si="68"/>
        <v>2.9433600000000002</v>
      </c>
      <c r="F593" s="310">
        <f t="shared" si="69"/>
        <v>2.9433600000000002</v>
      </c>
    </row>
    <row r="594" spans="1:6" hidden="1" x14ac:dyDescent="0.2">
      <c r="A594" s="969"/>
      <c r="B594" s="270" t="s">
        <v>155</v>
      </c>
      <c r="C594" s="271">
        <v>120000</v>
      </c>
      <c r="D594" s="271">
        <f t="shared" si="67"/>
        <v>960</v>
      </c>
      <c r="E594" s="311">
        <f t="shared" si="68"/>
        <v>4204.8</v>
      </c>
      <c r="F594" s="312">
        <f t="shared" si="69"/>
        <v>4204.8</v>
      </c>
    </row>
    <row r="595" spans="1:6" hidden="1" x14ac:dyDescent="0.2">
      <c r="A595" s="969"/>
      <c r="B595" s="275" t="s">
        <v>156</v>
      </c>
      <c r="C595" s="179">
        <v>2.2999999999999998</v>
      </c>
      <c r="D595" s="313">
        <f t="shared" si="67"/>
        <v>1.84E-2</v>
      </c>
      <c r="E595" s="314">
        <f t="shared" si="68"/>
        <v>8.0591999999999997E-2</v>
      </c>
      <c r="F595" s="315">
        <f t="shared" si="69"/>
        <v>8.0591999999999997E-2</v>
      </c>
    </row>
    <row r="596" spans="1:6" hidden="1" x14ac:dyDescent="0.2">
      <c r="A596" s="969"/>
      <c r="B596" s="275" t="s">
        <v>157</v>
      </c>
      <c r="C596" s="179">
        <v>2.2000000000000002</v>
      </c>
      <c r="D596" s="313">
        <f t="shared" si="67"/>
        <v>1.7600000000000001E-2</v>
      </c>
      <c r="E596" s="314">
        <f t="shared" si="68"/>
        <v>7.7088000000000004E-2</v>
      </c>
      <c r="F596" s="315">
        <f t="shared" si="69"/>
        <v>7.7088000000000004E-2</v>
      </c>
    </row>
    <row r="597" spans="1:6" hidden="1" x14ac:dyDescent="0.2">
      <c r="A597" s="969"/>
      <c r="B597" s="275" t="s">
        <v>158</v>
      </c>
      <c r="C597" s="211"/>
      <c r="D597" s="211">
        <f>SUM(D594:D596)</f>
        <v>960.03600000000006</v>
      </c>
      <c r="E597" s="316">
        <f>SUM(E594:E596)</f>
        <v>4204.9576800000004</v>
      </c>
      <c r="F597" s="317">
        <f>SUM(F594:F596)</f>
        <v>4204.9576800000004</v>
      </c>
    </row>
    <row r="598" spans="1:6" ht="13.5" hidden="1" thickBot="1" x14ac:dyDescent="0.25">
      <c r="A598" s="970"/>
      <c r="B598" s="278" t="s">
        <v>159</v>
      </c>
      <c r="C598" s="318"/>
      <c r="D598" s="280">
        <f>D594+(D595*21)+(D596*310)</f>
        <v>965.8424</v>
      </c>
      <c r="E598" s="319">
        <f>E594+(E595*21)+(E596*310)</f>
        <v>4230.3897120000001</v>
      </c>
      <c r="F598" s="320">
        <f>F594+(F595*21)+(F596*310)</f>
        <v>4230.3897120000001</v>
      </c>
    </row>
    <row r="599" spans="1:6" x14ac:dyDescent="0.2">
      <c r="C599" s="228"/>
      <c r="F599" s="228"/>
    </row>
    <row r="600" spans="1:6" x14ac:dyDescent="0.2">
      <c r="C600" s="228"/>
    </row>
    <row r="601" spans="1:6" x14ac:dyDescent="0.2">
      <c r="C601" s="228"/>
    </row>
    <row r="602" spans="1:6" x14ac:dyDescent="0.2">
      <c r="C602" s="228"/>
    </row>
  </sheetData>
  <mergeCells count="15">
    <mergeCell ref="A403:A466"/>
    <mergeCell ref="A477:A540"/>
    <mergeCell ref="A553:A598"/>
    <mergeCell ref="A67:M67"/>
    <mergeCell ref="A73:A124"/>
    <mergeCell ref="A125:M125"/>
    <mergeCell ref="A126:M126"/>
    <mergeCell ref="A127:M127"/>
    <mergeCell ref="A133:A184"/>
    <mergeCell ref="A66:M66"/>
    <mergeCell ref="A1:M1"/>
    <mergeCell ref="A2:M2"/>
    <mergeCell ref="A3:M3"/>
    <mergeCell ref="A12:A63"/>
    <mergeCell ref="A65:M65"/>
  </mergeCells>
  <printOptions horizontalCentered="1" gridLines="1" gridLinesSet="0"/>
  <pageMargins left="0.4" right="0.4" top="1" bottom="1" header="0.5" footer="0.5"/>
  <pageSetup scale="57" fitToHeight="3" orientation="portrait" horizontalDpi="1200" verticalDpi="1200" r:id="rId1"/>
  <headerFooter alignWithMargins="0"/>
  <rowBreaks count="2" manualBreakCount="2">
    <brk id="64" max="12" man="1"/>
    <brk id="124" max="12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BreakPreview" zoomScale="80" zoomScaleNormal="90" zoomScaleSheetLayoutView="80" workbookViewId="0">
      <selection activeCell="H17" sqref="H17"/>
    </sheetView>
  </sheetViews>
  <sheetFormatPr defaultRowHeight="12.75" x14ac:dyDescent="0.2"/>
  <cols>
    <col min="1" max="1" width="14.5703125" style="1" customWidth="1"/>
    <col min="2" max="2" width="14.7109375" style="1" customWidth="1"/>
    <col min="3" max="3" width="12.85546875" style="1" customWidth="1"/>
    <col min="4" max="4" width="12" style="1" customWidth="1"/>
    <col min="5" max="5" width="10" style="1" customWidth="1"/>
    <col min="6" max="6" width="15.140625" style="1" customWidth="1"/>
    <col min="7" max="7" width="9.140625" customWidth="1"/>
    <col min="8" max="8" width="11.7109375" bestFit="1" customWidth="1"/>
    <col min="9" max="9" width="9.28515625" customWidth="1"/>
    <col min="10" max="10" width="11.7109375" bestFit="1" customWidth="1"/>
    <col min="12" max="12" width="11.7109375" bestFit="1" customWidth="1"/>
    <col min="13" max="13" width="15.5703125" bestFit="1" customWidth="1"/>
  </cols>
  <sheetData>
    <row r="1" spans="1:13" x14ac:dyDescent="0.2">
      <c r="A1" s="730" t="s">
        <v>334</v>
      </c>
    </row>
    <row r="2" spans="1:13" x14ac:dyDescent="0.2">
      <c r="A2" s="454"/>
    </row>
    <row r="3" spans="1:13" x14ac:dyDescent="0.2">
      <c r="A3" s="168" t="s">
        <v>352</v>
      </c>
    </row>
    <row r="5" spans="1:13" ht="25.5" x14ac:dyDescent="0.2">
      <c r="A5" s="387" t="s">
        <v>335</v>
      </c>
      <c r="B5" s="387" t="s">
        <v>338</v>
      </c>
      <c r="C5" s="468" t="s">
        <v>340</v>
      </c>
      <c r="D5" s="468" t="s">
        <v>339</v>
      </c>
      <c r="E5" s="468" t="s">
        <v>341</v>
      </c>
      <c r="F5" s="468" t="s">
        <v>351</v>
      </c>
      <c r="G5" s="468" t="s">
        <v>344</v>
      </c>
      <c r="H5" s="468" t="s">
        <v>348</v>
      </c>
      <c r="I5" s="468" t="s">
        <v>347</v>
      </c>
      <c r="J5" s="468" t="s">
        <v>349</v>
      </c>
      <c r="K5" s="468" t="s">
        <v>346</v>
      </c>
      <c r="L5" s="468" t="s">
        <v>350</v>
      </c>
      <c r="M5" s="468" t="s">
        <v>345</v>
      </c>
    </row>
    <row r="6" spans="1:13" x14ac:dyDescent="0.2">
      <c r="A6" s="29" t="s">
        <v>336</v>
      </c>
      <c r="B6" s="29" t="s">
        <v>342</v>
      </c>
      <c r="C6" s="29">
        <v>99.5</v>
      </c>
      <c r="D6" s="456">
        <f>+AVERAGE(94.25, 94.12, 93.86)</f>
        <v>94.076666666666668</v>
      </c>
      <c r="E6" s="29">
        <v>0.87</v>
      </c>
      <c r="F6" s="457">
        <f>E6/$D$6</f>
        <v>9.2477766360769577E-3</v>
      </c>
      <c r="G6" s="29">
        <v>2.88</v>
      </c>
      <c r="H6" s="457">
        <f>G6/$D$6</f>
        <v>3.061332955390993E-2</v>
      </c>
      <c r="I6" s="29">
        <v>7.89</v>
      </c>
      <c r="J6" s="457">
        <f>I6/$D$6</f>
        <v>8.3867767423732406E-2</v>
      </c>
      <c r="K6" s="29">
        <v>0.01</v>
      </c>
      <c r="L6" s="457">
        <f>K6/$D$6</f>
        <v>1.0629628317329837E-4</v>
      </c>
      <c r="M6" s="29">
        <v>1.6000000000000001E-3</v>
      </c>
    </row>
    <row r="7" spans="1:13" x14ac:dyDescent="0.2">
      <c r="A7" s="29" t="s">
        <v>337</v>
      </c>
      <c r="B7" s="29" t="s">
        <v>342</v>
      </c>
      <c r="C7" s="29">
        <v>99.5</v>
      </c>
      <c r="D7" s="456">
        <f>AVERAGE(92.03, 102,98.77)</f>
        <v>97.600000000000009</v>
      </c>
      <c r="E7" s="29">
        <v>1.02</v>
      </c>
      <c r="F7" s="457">
        <f>E7/$D$7</f>
        <v>1.0450819672131146E-2</v>
      </c>
      <c r="G7" s="29">
        <v>0.75</v>
      </c>
      <c r="H7" s="457">
        <f>G7/$D$7</f>
        <v>7.6844262295081957E-3</v>
      </c>
      <c r="I7" s="29">
        <v>10.95</v>
      </c>
      <c r="J7" s="457">
        <f>I7/$D$7</f>
        <v>0.11219262295081965</v>
      </c>
      <c r="K7" s="73" t="s">
        <v>233</v>
      </c>
      <c r="L7" s="458" t="s">
        <v>233</v>
      </c>
      <c r="M7" s="466" t="s">
        <v>233</v>
      </c>
    </row>
    <row r="8" spans="1:13" hidden="1" x14ac:dyDescent="0.2">
      <c r="A8" s="459" t="s">
        <v>336</v>
      </c>
      <c r="B8" s="459" t="s">
        <v>343</v>
      </c>
      <c r="C8" s="459">
        <v>33.5</v>
      </c>
      <c r="D8" s="460">
        <f>AVERAGE(31.59,30.16,29.38)</f>
        <v>30.376666666666665</v>
      </c>
      <c r="E8" s="459">
        <v>0.52</v>
      </c>
      <c r="F8" s="461">
        <f>E8/$D$8</f>
        <v>1.7118402282453638E-2</v>
      </c>
      <c r="G8" s="459">
        <v>3.67</v>
      </c>
      <c r="H8" s="461">
        <f>G8/$D$8</f>
        <v>0.12081641610885549</v>
      </c>
      <c r="I8" s="459">
        <v>5.98</v>
      </c>
      <c r="J8" s="461">
        <f>I8/$D$8</f>
        <v>0.19686162624821685</v>
      </c>
      <c r="K8" s="459">
        <v>1E-3</v>
      </c>
      <c r="L8" s="461">
        <f>K8/$D$8</f>
        <v>3.2920004389333918E-5</v>
      </c>
      <c r="M8" s="459">
        <v>5.7000000000000002E-3</v>
      </c>
    </row>
    <row r="9" spans="1:13" hidden="1" x14ac:dyDescent="0.2">
      <c r="A9" s="459" t="s">
        <v>337</v>
      </c>
      <c r="B9" s="459" t="s">
        <v>343</v>
      </c>
      <c r="C9" s="459">
        <v>33.5</v>
      </c>
      <c r="D9" s="459">
        <f>AVERAGE(22.01,22.01,22.01)</f>
        <v>22.01</v>
      </c>
      <c r="E9" s="459">
        <v>0.41</v>
      </c>
      <c r="F9" s="461">
        <f>E9/$D$9</f>
        <v>1.8627896410722395E-2</v>
      </c>
      <c r="G9" s="459">
        <v>0.35</v>
      </c>
      <c r="H9" s="461">
        <f>G9/$D$9</f>
        <v>1.5901862789641071E-2</v>
      </c>
      <c r="I9" s="459">
        <v>6.33</v>
      </c>
      <c r="J9" s="461">
        <f>I9/$D$9</f>
        <v>0.28759654702407994</v>
      </c>
      <c r="K9" s="462" t="s">
        <v>233</v>
      </c>
      <c r="L9" s="463" t="s">
        <v>233</v>
      </c>
      <c r="M9" s="462" t="s">
        <v>233</v>
      </c>
    </row>
    <row r="10" spans="1:13" x14ac:dyDescent="0.2">
      <c r="F10" s="453"/>
    </row>
    <row r="11" spans="1:13" x14ac:dyDescent="0.2">
      <c r="A11" s="730" t="s">
        <v>572</v>
      </c>
      <c r="F11" s="453"/>
    </row>
    <row r="12" spans="1:13" x14ac:dyDescent="0.2">
      <c r="F12" s="453"/>
    </row>
    <row r="13" spans="1:13" x14ac:dyDescent="0.2">
      <c r="A13" s="165" t="s">
        <v>353</v>
      </c>
      <c r="C13" s="119">
        <v>98</v>
      </c>
      <c r="D13" s="119" t="s">
        <v>52</v>
      </c>
      <c r="E13" s="165"/>
      <c r="F13" s="119"/>
      <c r="G13" s="119"/>
      <c r="H13" s="425"/>
      <c r="I13" s="119"/>
    </row>
    <row r="14" spans="1:13" x14ac:dyDescent="0.2">
      <c r="A14" s="323" t="s">
        <v>354</v>
      </c>
      <c r="C14" s="455">
        <f>C13/C15/1000</f>
        <v>0.76963552260608015</v>
      </c>
      <c r="D14" s="323" t="s">
        <v>93</v>
      </c>
    </row>
    <row r="15" spans="1:13" x14ac:dyDescent="0.2">
      <c r="A15" s="323" t="s">
        <v>219</v>
      </c>
      <c r="B15" s="323"/>
      <c r="C15" s="451">
        <f>127333/1000000</f>
        <v>0.127333</v>
      </c>
      <c r="D15" s="323" t="s">
        <v>95</v>
      </c>
    </row>
    <row r="16" spans="1:13" x14ac:dyDescent="0.2">
      <c r="A16" s="323"/>
      <c r="B16" s="323"/>
      <c r="C16" s="451"/>
      <c r="D16" s="323"/>
    </row>
    <row r="17" spans="1:6" ht="75" customHeight="1" x14ac:dyDescent="0.2">
      <c r="A17" s="387" t="s">
        <v>10</v>
      </c>
      <c r="B17" s="468" t="s">
        <v>570</v>
      </c>
      <c r="C17" s="468" t="s">
        <v>571</v>
      </c>
      <c r="D17" s="724" t="s">
        <v>573</v>
      </c>
      <c r="E17" s="724" t="s">
        <v>574</v>
      </c>
      <c r="F17" s="468" t="s">
        <v>578</v>
      </c>
    </row>
    <row r="18" spans="1:6" x14ac:dyDescent="0.2">
      <c r="A18" s="464" t="s">
        <v>148</v>
      </c>
      <c r="B18" s="465">
        <f>MAX(F6:F7)</f>
        <v>1.0450819672131146E-2</v>
      </c>
      <c r="C18" s="4">
        <f>B18*$C$15*1000</f>
        <v>1.3307342213114752</v>
      </c>
      <c r="D18" s="725">
        <f>(8.34*0.84)+1.5</f>
        <v>8.5055999999999994</v>
      </c>
      <c r="E18" s="726">
        <v>1</v>
      </c>
      <c r="F18" s="4">
        <f>C18*1.5</f>
        <v>1.9961013319672127</v>
      </c>
    </row>
    <row r="19" spans="1:6" x14ac:dyDescent="0.2">
      <c r="A19" s="464" t="s">
        <v>149</v>
      </c>
      <c r="B19" s="466" t="s">
        <v>233</v>
      </c>
      <c r="C19" s="4">
        <f>C18*E19</f>
        <v>1.1769713365408634</v>
      </c>
      <c r="D19" s="727">
        <f>(7.17*0.84)+1.5</f>
        <v>7.5228000000000002</v>
      </c>
      <c r="E19" s="728">
        <f>D19/D18</f>
        <v>0.88445259593679471</v>
      </c>
      <c r="F19" s="4">
        <f t="shared" ref="F19:F23" si="0">C19*1.5</f>
        <v>1.765457004811295</v>
      </c>
    </row>
    <row r="20" spans="1:6" x14ac:dyDescent="0.2">
      <c r="A20" s="464" t="s">
        <v>150</v>
      </c>
      <c r="B20" s="466" t="s">
        <v>233</v>
      </c>
      <c r="C20" s="4">
        <f>C18*E20</f>
        <v>0.84841816395408531</v>
      </c>
      <c r="D20" s="727">
        <f>(4.67*0.84)+1.5</f>
        <v>5.4227999999999996</v>
      </c>
      <c r="E20" s="728">
        <f>D20/D18</f>
        <v>0.63755643340857793</v>
      </c>
      <c r="F20" s="4">
        <f t="shared" si="0"/>
        <v>1.2726272459311279</v>
      </c>
    </row>
    <row r="21" spans="1:6" x14ac:dyDescent="0.2">
      <c r="A21" s="29" t="s">
        <v>189</v>
      </c>
      <c r="B21" s="457">
        <f>MAX(H6:H7)</f>
        <v>3.061332955390993E-2</v>
      </c>
      <c r="C21" s="4">
        <f>B21*$C$15*1000</f>
        <v>3.8980870920880131</v>
      </c>
      <c r="D21" s="729" t="s">
        <v>233</v>
      </c>
      <c r="E21" s="729" t="s">
        <v>233</v>
      </c>
      <c r="F21" s="4">
        <f t="shared" si="0"/>
        <v>5.8471306381320201</v>
      </c>
    </row>
    <row r="22" spans="1:6" x14ac:dyDescent="0.2">
      <c r="A22" s="29" t="s">
        <v>152</v>
      </c>
      <c r="B22" s="457">
        <f>MAX(J6:J7)</f>
        <v>0.11219262295081965</v>
      </c>
      <c r="C22" s="4">
        <f>B22*$C$15*1000</f>
        <v>14.285823258196718</v>
      </c>
      <c r="D22" s="729" t="s">
        <v>233</v>
      </c>
      <c r="E22" s="729" t="s">
        <v>233</v>
      </c>
      <c r="F22" s="4">
        <f t="shared" si="0"/>
        <v>21.428734887295079</v>
      </c>
    </row>
    <row r="23" spans="1:6" x14ac:dyDescent="0.2">
      <c r="A23" s="29" t="s">
        <v>6</v>
      </c>
      <c r="B23" s="457">
        <f>MAX(L6:L7)</f>
        <v>1.0629628317329837E-4</v>
      </c>
      <c r="C23" s="4">
        <f>B23*$C$15*1000</f>
        <v>1.35350246253056E-2</v>
      </c>
      <c r="D23" s="729" t="s">
        <v>233</v>
      </c>
      <c r="E23" s="729" t="s">
        <v>233</v>
      </c>
      <c r="F23" s="4">
        <f t="shared" si="0"/>
        <v>2.0302536937958401E-2</v>
      </c>
    </row>
    <row r="24" spans="1:6" x14ac:dyDescent="0.2">
      <c r="A24" s="464" t="s">
        <v>128</v>
      </c>
      <c r="B24" s="466" t="s">
        <v>233</v>
      </c>
      <c r="C24" s="457">
        <f>MAX(M6:M7)</f>
        <v>1.6000000000000001E-3</v>
      </c>
      <c r="D24" s="729" t="s">
        <v>233</v>
      </c>
      <c r="E24" s="729" t="s">
        <v>233</v>
      </c>
      <c r="F24" s="457">
        <f>C24*1.5</f>
        <v>2.4000000000000002E-3</v>
      </c>
    </row>
    <row r="25" spans="1:6" x14ac:dyDescent="0.2">
      <c r="A25" s="168" t="s">
        <v>577</v>
      </c>
      <c r="B25" s="732"/>
      <c r="C25" s="125"/>
      <c r="D25" s="733"/>
      <c r="E25" s="733"/>
      <c r="F25" s="125"/>
    </row>
    <row r="26" spans="1:6" x14ac:dyDescent="0.2">
      <c r="A26" s="731" t="s">
        <v>575</v>
      </c>
    </row>
    <row r="27" spans="1:6" x14ac:dyDescent="0.2">
      <c r="A27" s="731" t="s">
        <v>576</v>
      </c>
    </row>
  </sheetData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view="pageBreakPreview" zoomScale="80" zoomScaleNormal="100" zoomScaleSheetLayoutView="80" workbookViewId="0">
      <selection activeCell="A2" sqref="A2:J2"/>
    </sheetView>
  </sheetViews>
  <sheetFormatPr defaultRowHeight="12.75" x14ac:dyDescent="0.2"/>
  <cols>
    <col min="1" max="7" width="14.7109375" customWidth="1"/>
    <col min="8" max="8" width="10.85546875" customWidth="1"/>
    <col min="10" max="10" width="14.140625" customWidth="1"/>
  </cols>
  <sheetData>
    <row r="1" spans="1:10" ht="18" x14ac:dyDescent="0.25">
      <c r="A1" s="983" t="s">
        <v>11</v>
      </c>
      <c r="B1" s="983"/>
      <c r="C1" s="983"/>
      <c r="D1" s="983"/>
      <c r="E1" s="983"/>
      <c r="F1" s="983"/>
      <c r="G1" s="983"/>
      <c r="H1" s="983"/>
      <c r="I1" s="983"/>
      <c r="J1" s="983"/>
    </row>
    <row r="2" spans="1:10" ht="15.75" x14ac:dyDescent="0.25">
      <c r="A2" s="945" t="s">
        <v>659</v>
      </c>
      <c r="B2" s="945"/>
      <c r="C2" s="945"/>
      <c r="D2" s="945"/>
      <c r="E2" s="945"/>
      <c r="F2" s="945"/>
      <c r="G2" s="945"/>
      <c r="H2" s="945"/>
      <c r="I2" s="945"/>
      <c r="J2" s="945"/>
    </row>
    <row r="3" spans="1:10" ht="15.75" x14ac:dyDescent="0.25">
      <c r="A3" s="945" t="s">
        <v>235</v>
      </c>
      <c r="B3" s="945"/>
      <c r="C3" s="945"/>
      <c r="D3" s="945"/>
      <c r="E3" s="945"/>
      <c r="F3" s="945"/>
      <c r="G3" s="945"/>
      <c r="H3" s="945"/>
      <c r="I3" s="945"/>
      <c r="J3" s="945"/>
    </row>
    <row r="4" spans="1:10" ht="15.75" customHeight="1" x14ac:dyDescent="0.2">
      <c r="A4" s="990" t="s">
        <v>567</v>
      </c>
      <c r="B4" s="990"/>
      <c r="C4" s="990"/>
      <c r="D4" s="990"/>
      <c r="E4" s="990"/>
      <c r="F4" s="990"/>
      <c r="G4" s="990"/>
      <c r="H4" s="990"/>
      <c r="I4" s="990"/>
      <c r="J4" s="990"/>
    </row>
    <row r="5" spans="1:10" ht="12.75" hidden="1" customHeight="1" x14ac:dyDescent="0.25">
      <c r="A5" s="10"/>
      <c r="B5" s="10"/>
      <c r="C5" s="10"/>
      <c r="D5" s="10"/>
      <c r="E5" s="10"/>
      <c r="F5" s="10"/>
      <c r="G5" s="10"/>
    </row>
    <row r="6" spans="1:10" ht="15.75" hidden="1" x14ac:dyDescent="0.25">
      <c r="A6" s="945" t="s">
        <v>55</v>
      </c>
      <c r="B6" s="945"/>
      <c r="C6" s="945"/>
      <c r="D6" s="945"/>
      <c r="E6" s="945"/>
      <c r="F6" s="945"/>
      <c r="G6" s="945"/>
    </row>
    <row r="7" spans="1:10" hidden="1" x14ac:dyDescent="0.2">
      <c r="B7" s="46"/>
      <c r="C7" s="46"/>
      <c r="D7" s="59" t="s">
        <v>49</v>
      </c>
      <c r="E7" s="60">
        <v>4902</v>
      </c>
      <c r="F7" s="46" t="s">
        <v>54</v>
      </c>
      <c r="G7" s="46"/>
    </row>
    <row r="8" spans="1:10" hidden="1" x14ac:dyDescent="0.2">
      <c r="B8" s="46"/>
      <c r="C8" s="46"/>
      <c r="D8" s="59" t="s">
        <v>43</v>
      </c>
      <c r="E8" s="60">
        <v>1020</v>
      </c>
      <c r="F8" s="46" t="s">
        <v>53</v>
      </c>
      <c r="G8" s="46"/>
    </row>
    <row r="9" spans="1:10" hidden="1" x14ac:dyDescent="0.2">
      <c r="B9" s="46"/>
      <c r="C9" s="46"/>
      <c r="D9" s="59" t="s">
        <v>41</v>
      </c>
      <c r="E9" s="58">
        <v>5</v>
      </c>
      <c r="F9" s="46" t="s">
        <v>52</v>
      </c>
      <c r="G9" s="46"/>
    </row>
    <row r="10" spans="1:10" ht="13.5" hidden="1" thickBot="1" x14ac:dyDescent="0.25">
      <c r="B10" s="46"/>
      <c r="C10" s="46"/>
      <c r="D10" s="46"/>
      <c r="E10" s="46"/>
      <c r="F10" s="46"/>
      <c r="G10" s="46"/>
    </row>
    <row r="11" spans="1:10" ht="26.25" hidden="1" thickTop="1" x14ac:dyDescent="0.2">
      <c r="B11" s="987" t="s">
        <v>10</v>
      </c>
      <c r="C11" s="41" t="s">
        <v>37</v>
      </c>
      <c r="D11" s="41" t="s">
        <v>63</v>
      </c>
      <c r="E11" s="41" t="s">
        <v>14</v>
      </c>
      <c r="F11" s="57" t="s">
        <v>13</v>
      </c>
      <c r="G11" s="68"/>
    </row>
    <row r="12" spans="1:10" ht="13.5" hidden="1" thickBot="1" x14ac:dyDescent="0.25">
      <c r="B12" s="988"/>
      <c r="C12" s="39" t="s">
        <v>51</v>
      </c>
      <c r="D12" s="39" t="s">
        <v>12</v>
      </c>
      <c r="E12" s="39" t="s">
        <v>4</v>
      </c>
      <c r="F12" s="56" t="s">
        <v>4</v>
      </c>
      <c r="G12" s="11"/>
    </row>
    <row r="13" spans="1:10" ht="13.5" hidden="1" thickTop="1" x14ac:dyDescent="0.2">
      <c r="B13" s="36" t="s">
        <v>9</v>
      </c>
      <c r="C13" s="55">
        <v>7.6</v>
      </c>
      <c r="D13" s="55">
        <f>C13*$E$7/1000000</f>
        <v>3.7255199999999995E-2</v>
      </c>
      <c r="E13" s="54">
        <f>D13*4.38</f>
        <v>0.16317777599999997</v>
      </c>
      <c r="F13" s="53">
        <f>E13</f>
        <v>0.16317777599999997</v>
      </c>
      <c r="G13" s="46"/>
    </row>
    <row r="14" spans="1:10" ht="14.25" hidden="1" x14ac:dyDescent="0.25">
      <c r="B14" s="31" t="s">
        <v>8</v>
      </c>
      <c r="C14" s="52">
        <v>7.6</v>
      </c>
      <c r="D14" s="52">
        <f>C14*$E$7/1000000</f>
        <v>3.7255199999999995E-2</v>
      </c>
      <c r="E14" s="51">
        <f>D14*4.38</f>
        <v>0.16317777599999997</v>
      </c>
      <c r="F14" s="50">
        <f>E14</f>
        <v>0.16317777599999997</v>
      </c>
      <c r="G14" s="46"/>
    </row>
    <row r="15" spans="1:10" ht="15" hidden="1" thickBot="1" x14ac:dyDescent="0.3">
      <c r="B15" s="26" t="s">
        <v>7</v>
      </c>
      <c r="C15" s="49">
        <v>7.6</v>
      </c>
      <c r="D15" s="49">
        <f>C15*$E$7/1000000</f>
        <v>3.7255199999999995E-2</v>
      </c>
      <c r="E15" s="48">
        <f>D15*4.38</f>
        <v>0.16317777599999997</v>
      </c>
      <c r="F15" s="47">
        <f>E15</f>
        <v>0.16317777599999997</v>
      </c>
      <c r="G15" s="46"/>
    </row>
    <row r="16" spans="1:10" ht="13.5" hidden="1" thickTop="1" x14ac:dyDescent="0.2">
      <c r="B16" s="994" t="s">
        <v>50</v>
      </c>
      <c r="C16" s="994"/>
      <c r="D16" s="994"/>
      <c r="E16" s="994"/>
      <c r="F16" s="994"/>
      <c r="G16" s="46"/>
    </row>
    <row r="17" spans="1:7" hidden="1" x14ac:dyDescent="0.2">
      <c r="A17" s="46"/>
      <c r="B17" s="46"/>
      <c r="C17" s="46"/>
      <c r="D17" s="46"/>
      <c r="E17" s="46"/>
      <c r="F17" s="46"/>
      <c r="G17" s="46"/>
    </row>
    <row r="18" spans="1:7" ht="15.75" hidden="1" x14ac:dyDescent="0.25">
      <c r="A18" s="945" t="s">
        <v>64</v>
      </c>
      <c r="B18" s="945"/>
      <c r="C18" s="945"/>
      <c r="D18" s="945"/>
      <c r="E18" s="945"/>
      <c r="F18" s="945"/>
      <c r="G18" s="945"/>
    </row>
    <row r="19" spans="1:7" hidden="1" x14ac:dyDescent="0.2">
      <c r="B19" s="46"/>
      <c r="C19" s="46"/>
      <c r="D19" s="59" t="s">
        <v>49</v>
      </c>
      <c r="E19" s="60">
        <v>35.700000000000003</v>
      </c>
      <c r="F19" s="46" t="s">
        <v>48</v>
      </c>
      <c r="G19" s="46"/>
    </row>
    <row r="20" spans="1:7" hidden="1" x14ac:dyDescent="0.2">
      <c r="B20" s="46"/>
      <c r="C20" s="46"/>
      <c r="D20" s="59" t="s">
        <v>47</v>
      </c>
      <c r="E20" s="67">
        <v>7.2060000000000004</v>
      </c>
      <c r="F20" s="46" t="s">
        <v>46</v>
      </c>
      <c r="G20" s="46"/>
    </row>
    <row r="21" spans="1:7" hidden="1" x14ac:dyDescent="0.2">
      <c r="B21" s="46"/>
      <c r="C21" s="46"/>
      <c r="D21" s="59" t="s">
        <v>45</v>
      </c>
      <c r="E21" s="60">
        <v>19429</v>
      </c>
      <c r="F21" s="46" t="s">
        <v>44</v>
      </c>
      <c r="G21" s="46"/>
    </row>
    <row r="22" spans="1:7" hidden="1" x14ac:dyDescent="0.2">
      <c r="B22" s="46"/>
      <c r="C22" s="46"/>
      <c r="D22" s="59" t="s">
        <v>43</v>
      </c>
      <c r="E22" s="60">
        <v>140005</v>
      </c>
      <c r="F22" s="46" t="s">
        <v>42</v>
      </c>
      <c r="G22" s="46"/>
    </row>
    <row r="23" spans="1:7" hidden="1" x14ac:dyDescent="0.2">
      <c r="B23" s="46"/>
      <c r="C23" s="46"/>
      <c r="D23" s="59" t="s">
        <v>41</v>
      </c>
      <c r="E23" s="58">
        <v>5</v>
      </c>
      <c r="F23" s="46" t="s">
        <v>40</v>
      </c>
      <c r="G23" s="46"/>
    </row>
    <row r="24" spans="1:7" hidden="1" x14ac:dyDescent="0.2">
      <c r="B24" s="46"/>
      <c r="C24" s="46"/>
      <c r="D24" s="59" t="s">
        <v>39</v>
      </c>
      <c r="E24" s="58">
        <v>0.5</v>
      </c>
      <c r="F24" s="46" t="s">
        <v>38</v>
      </c>
      <c r="G24" s="46"/>
    </row>
    <row r="25" spans="1:7" ht="13.5" hidden="1" thickBot="1" x14ac:dyDescent="0.25">
      <c r="B25" s="46"/>
      <c r="C25" s="46"/>
      <c r="D25" s="46"/>
      <c r="E25" s="46"/>
      <c r="F25" s="46"/>
      <c r="G25" s="46"/>
    </row>
    <row r="26" spans="1:7" ht="26.25" hidden="1" thickTop="1" x14ac:dyDescent="0.2">
      <c r="B26" s="987" t="s">
        <v>10</v>
      </c>
      <c r="C26" s="41" t="s">
        <v>37</v>
      </c>
      <c r="D26" s="41" t="s">
        <v>63</v>
      </c>
      <c r="E26" s="41" t="s">
        <v>14</v>
      </c>
      <c r="F26" s="57" t="s">
        <v>13</v>
      </c>
      <c r="G26" s="46"/>
    </row>
    <row r="27" spans="1:7" ht="13.5" hidden="1" thickBot="1" x14ac:dyDescent="0.25">
      <c r="B27" s="988"/>
      <c r="C27" s="39" t="s">
        <v>36</v>
      </c>
      <c r="D27" s="39" t="s">
        <v>12</v>
      </c>
      <c r="E27" s="39" t="s">
        <v>4</v>
      </c>
      <c r="F27" s="56" t="s">
        <v>4</v>
      </c>
      <c r="G27" s="46"/>
    </row>
    <row r="28" spans="1:7" ht="13.5" hidden="1" thickTop="1" x14ac:dyDescent="0.2">
      <c r="B28" s="36" t="s">
        <v>9</v>
      </c>
      <c r="C28" s="55">
        <v>2</v>
      </c>
      <c r="D28" s="66">
        <f>C28*$E$19/1000</f>
        <v>7.1400000000000005E-2</v>
      </c>
      <c r="E28" s="66">
        <f>D28*4.38</f>
        <v>0.31273200000000001</v>
      </c>
      <c r="F28" s="65">
        <f>E28</f>
        <v>0.31273200000000001</v>
      </c>
      <c r="G28" s="46"/>
    </row>
    <row r="29" spans="1:7" ht="14.25" hidden="1" x14ac:dyDescent="0.25">
      <c r="B29" s="31" t="s">
        <v>8</v>
      </c>
      <c r="C29" s="52">
        <v>1</v>
      </c>
      <c r="D29" s="64">
        <f>C29*$E$19/1000</f>
        <v>3.5700000000000003E-2</v>
      </c>
      <c r="E29" s="64">
        <f>D29*4.38</f>
        <v>0.156366</v>
      </c>
      <c r="F29" s="63">
        <f>E29</f>
        <v>0.156366</v>
      </c>
      <c r="G29" s="46"/>
    </row>
    <row r="30" spans="1:7" ht="15" hidden="1" thickBot="1" x14ac:dyDescent="0.3">
      <c r="B30" s="26" t="s">
        <v>7</v>
      </c>
      <c r="C30" s="49">
        <v>0.25</v>
      </c>
      <c r="D30" s="62">
        <f>C30*$E$19/1000</f>
        <v>8.9250000000000006E-3</v>
      </c>
      <c r="E30" s="62">
        <f>D30*4.38</f>
        <v>3.9091500000000001E-2</v>
      </c>
      <c r="F30" s="61">
        <f>E30</f>
        <v>3.9091500000000001E-2</v>
      </c>
      <c r="G30" s="46"/>
    </row>
    <row r="31" spans="1:7" ht="13.5" hidden="1" thickTop="1" x14ac:dyDescent="0.2">
      <c r="B31" s="994" t="s">
        <v>62</v>
      </c>
      <c r="C31" s="994"/>
      <c r="D31" s="994"/>
      <c r="E31" s="994"/>
      <c r="F31" s="994"/>
      <c r="G31" s="46"/>
    </row>
    <row r="33" spans="1:11" ht="16.5" thickBot="1" x14ac:dyDescent="0.3">
      <c r="A33" s="991" t="s">
        <v>61</v>
      </c>
      <c r="B33" s="991"/>
      <c r="C33" s="991"/>
      <c r="D33" s="991"/>
      <c r="E33" s="991"/>
      <c r="F33" s="991"/>
      <c r="G33" s="991"/>
      <c r="H33" s="991"/>
      <c r="I33" s="991"/>
      <c r="J33" s="991"/>
    </row>
    <row r="34" spans="1:11" ht="51.75" thickTop="1" x14ac:dyDescent="0.2">
      <c r="A34" s="43"/>
      <c r="B34" s="989" t="s">
        <v>28</v>
      </c>
      <c r="C34" s="989"/>
      <c r="D34" s="989"/>
      <c r="E34" s="42" t="s">
        <v>27</v>
      </c>
      <c r="F34" s="41" t="s">
        <v>26</v>
      </c>
      <c r="G34" s="41" t="s">
        <v>326</v>
      </c>
      <c r="H34" s="992" t="s">
        <v>25</v>
      </c>
      <c r="I34" s="993"/>
      <c r="J34" s="440" t="s">
        <v>324</v>
      </c>
    </row>
    <row r="35" spans="1:11" ht="13.5" thickBot="1" x14ac:dyDescent="0.25">
      <c r="A35" s="40" t="s">
        <v>10</v>
      </c>
      <c r="B35" s="39" t="s">
        <v>24</v>
      </c>
      <c r="C35" s="39" t="s">
        <v>23</v>
      </c>
      <c r="D35" s="39" t="s">
        <v>0</v>
      </c>
      <c r="E35" s="39" t="s">
        <v>12</v>
      </c>
      <c r="F35" s="39" t="s">
        <v>12</v>
      </c>
      <c r="G35" s="39" t="s">
        <v>22</v>
      </c>
      <c r="H35" s="38" t="s">
        <v>12</v>
      </c>
      <c r="I35" s="96" t="s">
        <v>4</v>
      </c>
      <c r="J35" s="37" t="s">
        <v>4</v>
      </c>
    </row>
    <row r="36" spans="1:11" ht="15" thickTop="1" x14ac:dyDescent="0.2">
      <c r="A36" s="36" t="s">
        <v>21</v>
      </c>
      <c r="B36" s="5">
        <f>B37/(85/100)</f>
        <v>0.89411764705882357</v>
      </c>
      <c r="C36" s="74">
        <v>0.46</v>
      </c>
      <c r="D36" s="126">
        <f>B36+C36</f>
        <v>1.3541176470588236</v>
      </c>
      <c r="E36" s="984">
        <v>2000</v>
      </c>
      <c r="F36" s="109">
        <f>H36/((100-G36)/100)</f>
        <v>13.541176470588235</v>
      </c>
      <c r="G36" s="34">
        <v>90</v>
      </c>
      <c r="H36" s="33">
        <f>($E$36/2000)*D36</f>
        <v>1.3541176470588236</v>
      </c>
      <c r="I36" s="437">
        <f>H36*4.38</f>
        <v>5.9310352941176472</v>
      </c>
      <c r="J36" s="32">
        <f>F36*4.38</f>
        <v>59.310352941176468</v>
      </c>
    </row>
    <row r="37" spans="1:11" ht="15" x14ac:dyDescent="0.25">
      <c r="A37" s="31" t="s">
        <v>20</v>
      </c>
      <c r="B37" s="29">
        <v>0.76</v>
      </c>
      <c r="C37" s="73">
        <v>0.46</v>
      </c>
      <c r="D37" s="129">
        <f>B37+C37</f>
        <v>1.22</v>
      </c>
      <c r="E37" s="985"/>
      <c r="F37" s="109">
        <f>H37/((100-G37)/100)</f>
        <v>12.2</v>
      </c>
      <c r="G37" s="29">
        <v>90</v>
      </c>
      <c r="H37" s="28">
        <f>($E$36/2000)*D37</f>
        <v>1.22</v>
      </c>
      <c r="I37" s="438">
        <f>H37*4.38</f>
        <v>5.3435999999999995</v>
      </c>
      <c r="J37" s="32">
        <f>F37*4.38</f>
        <v>53.435999999999993</v>
      </c>
      <c r="K37" s="118"/>
    </row>
    <row r="38" spans="1:11" ht="15" x14ac:dyDescent="0.25">
      <c r="A38" s="31" t="s">
        <v>19</v>
      </c>
      <c r="B38" s="4">
        <f>(30/85)*B37</f>
        <v>0.26823529411764707</v>
      </c>
      <c r="C38" s="73">
        <v>0.46</v>
      </c>
      <c r="D38" s="126">
        <f>B38+C38</f>
        <v>0.72823529411764709</v>
      </c>
      <c r="E38" s="985"/>
      <c r="F38" s="109">
        <f>H38/((100-G38)/100)</f>
        <v>7.2823529411764705</v>
      </c>
      <c r="G38" s="29">
        <v>90</v>
      </c>
      <c r="H38" s="28">
        <f>($E$36/2000)*D38</f>
        <v>0.72823529411764709</v>
      </c>
      <c r="I38" s="438">
        <f>H38*4.38</f>
        <v>3.1896705882352943</v>
      </c>
      <c r="J38" s="32">
        <f>F38*4.38</f>
        <v>31.89670588235294</v>
      </c>
    </row>
    <row r="39" spans="1:11" ht="15" thickBot="1" x14ac:dyDescent="0.25">
      <c r="A39" s="130" t="s">
        <v>33</v>
      </c>
      <c r="B39" s="127" t="s">
        <v>223</v>
      </c>
      <c r="C39" s="128" t="s">
        <v>223</v>
      </c>
      <c r="D39" s="127">
        <v>0.09</v>
      </c>
      <c r="E39" s="986"/>
      <c r="F39" s="105">
        <f>H39</f>
        <v>0.09</v>
      </c>
      <c r="G39" s="131" t="s">
        <v>223</v>
      </c>
      <c r="H39" s="22">
        <f>($E$36/2000)*D39</f>
        <v>0.09</v>
      </c>
      <c r="I39" s="439">
        <f>H39*4.38</f>
        <v>0.39419999999999999</v>
      </c>
      <c r="J39" s="441">
        <f>F39*4.38</f>
        <v>0.39419999999999999</v>
      </c>
    </row>
    <row r="40" spans="1:11" ht="14.25" thickTop="1" x14ac:dyDescent="0.2">
      <c r="A40" s="979" t="s">
        <v>60</v>
      </c>
      <c r="B40" s="979"/>
      <c r="C40" s="979"/>
      <c r="D40" s="979"/>
      <c r="E40" s="979"/>
      <c r="F40" s="979"/>
      <c r="G40" s="979"/>
      <c r="H40" s="979"/>
      <c r="I40" s="979"/>
      <c r="J40" s="979"/>
    </row>
    <row r="41" spans="1:11" ht="14.25" x14ac:dyDescent="0.25">
      <c r="A41" s="20" t="s">
        <v>59</v>
      </c>
      <c r="B41" s="1"/>
      <c r="C41" s="1"/>
      <c r="D41" s="1"/>
      <c r="E41" s="1"/>
      <c r="F41" s="1"/>
      <c r="G41" s="1"/>
    </row>
    <row r="42" spans="1:11" ht="27" customHeight="1" x14ac:dyDescent="0.2">
      <c r="A42" s="980" t="s">
        <v>58</v>
      </c>
      <c r="B42" s="980"/>
      <c r="C42" s="980"/>
      <c r="D42" s="980"/>
      <c r="E42" s="980"/>
      <c r="F42" s="980"/>
      <c r="G42" s="980"/>
      <c r="H42" s="980"/>
      <c r="I42" s="980"/>
      <c r="J42" s="980"/>
    </row>
    <row r="43" spans="1:11" ht="13.5" x14ac:dyDescent="0.2">
      <c r="A43" s="20" t="s">
        <v>227</v>
      </c>
    </row>
    <row r="44" spans="1:11" ht="16.5" hidden="1" thickBot="1" x14ac:dyDescent="0.3">
      <c r="A44" s="945" t="s">
        <v>57</v>
      </c>
      <c r="B44" s="945"/>
      <c r="C44" s="945"/>
      <c r="D44" s="945"/>
      <c r="E44" s="945"/>
      <c r="F44" s="945"/>
      <c r="G44" s="945"/>
    </row>
    <row r="45" spans="1:11" ht="39" hidden="1" thickTop="1" x14ac:dyDescent="0.2">
      <c r="B45" s="975" t="s">
        <v>10</v>
      </c>
      <c r="C45" s="976"/>
      <c r="D45" s="72" t="s">
        <v>15</v>
      </c>
      <c r="E45" s="72" t="s">
        <v>14</v>
      </c>
      <c r="F45" s="71" t="s">
        <v>13</v>
      </c>
    </row>
    <row r="46" spans="1:11" ht="13.5" hidden="1" thickBot="1" x14ac:dyDescent="0.25">
      <c r="B46" s="977"/>
      <c r="C46" s="978"/>
      <c r="D46" s="70" t="s">
        <v>12</v>
      </c>
      <c r="E46" s="70" t="s">
        <v>4</v>
      </c>
      <c r="F46" s="69" t="s">
        <v>4</v>
      </c>
    </row>
    <row r="47" spans="1:11" ht="13.5" hidden="1" thickTop="1" x14ac:dyDescent="0.2">
      <c r="B47" s="981" t="s">
        <v>9</v>
      </c>
      <c r="C47" s="982"/>
      <c r="D47" s="66">
        <f>D28+H36</f>
        <v>1.4255176470588236</v>
      </c>
      <c r="E47" s="66">
        <f>D47*4.38</f>
        <v>6.2437672941176467</v>
      </c>
      <c r="F47" s="65">
        <f>E47</f>
        <v>6.2437672941176467</v>
      </c>
    </row>
    <row r="48" spans="1:11" ht="14.25" hidden="1" x14ac:dyDescent="0.25">
      <c r="B48" s="971" t="s">
        <v>8</v>
      </c>
      <c r="C48" s="972"/>
      <c r="D48" s="66">
        <f>D29+H37</f>
        <v>1.2557</v>
      </c>
      <c r="E48" s="66">
        <f>D48*4.38</f>
        <v>5.4999659999999997</v>
      </c>
      <c r="F48" s="65">
        <f>E48</f>
        <v>5.4999659999999997</v>
      </c>
    </row>
    <row r="49" spans="2:6" ht="15" hidden="1" thickBot="1" x14ac:dyDescent="0.3">
      <c r="B49" s="973" t="s">
        <v>7</v>
      </c>
      <c r="C49" s="974"/>
      <c r="D49" s="62">
        <f>D30+H38</f>
        <v>0.73716029411764705</v>
      </c>
      <c r="E49" s="62">
        <f>D49*4.38</f>
        <v>3.2287620882352939</v>
      </c>
      <c r="F49" s="61">
        <f>E49</f>
        <v>3.2287620882352939</v>
      </c>
    </row>
  </sheetData>
  <mergeCells count="21">
    <mergeCell ref="A1:J1"/>
    <mergeCell ref="A2:J2"/>
    <mergeCell ref="A3:J3"/>
    <mergeCell ref="E36:E39"/>
    <mergeCell ref="B26:B27"/>
    <mergeCell ref="B34:D34"/>
    <mergeCell ref="A4:J4"/>
    <mergeCell ref="A33:J33"/>
    <mergeCell ref="H34:I34"/>
    <mergeCell ref="B11:B12"/>
    <mergeCell ref="B16:F16"/>
    <mergeCell ref="A6:G6"/>
    <mergeCell ref="B31:F31"/>
    <mergeCell ref="A18:G18"/>
    <mergeCell ref="B48:C48"/>
    <mergeCell ref="B49:C49"/>
    <mergeCell ref="A44:G44"/>
    <mergeCell ref="B45:C46"/>
    <mergeCell ref="A40:J40"/>
    <mergeCell ref="A42:J42"/>
    <mergeCell ref="B47:C47"/>
  </mergeCells>
  <printOptions horizontalCentered="1"/>
  <pageMargins left="0.75" right="0.75" top="1" bottom="1" header="0.5" footer="0.5"/>
  <pageSetup scale="65" orientation="portrait" horizontalDpi="4294967293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56"/>
  <sheetViews>
    <sheetView view="pageBreakPreview" zoomScale="80" zoomScaleNormal="100" zoomScaleSheetLayoutView="80" workbookViewId="0">
      <selection activeCell="E9" sqref="E9:E12"/>
    </sheetView>
  </sheetViews>
  <sheetFormatPr defaultRowHeight="12.75" x14ac:dyDescent="0.2"/>
  <cols>
    <col min="1" max="1" width="14.7109375" style="11" customWidth="1"/>
    <col min="2" max="9" width="14.7109375" style="1" customWidth="1"/>
    <col min="10" max="10" width="16.7109375" style="1" customWidth="1"/>
  </cols>
  <sheetData>
    <row r="1" spans="1:12" ht="18" x14ac:dyDescent="0.25">
      <c r="A1" s="983" t="s">
        <v>11</v>
      </c>
      <c r="B1" s="983"/>
      <c r="C1" s="983"/>
      <c r="D1" s="983"/>
      <c r="E1" s="983"/>
      <c r="F1" s="983"/>
      <c r="G1" s="983"/>
      <c r="H1" s="983"/>
      <c r="I1" s="983"/>
    </row>
    <row r="2" spans="1:12" ht="15.75" x14ac:dyDescent="0.25">
      <c r="A2" s="945" t="s">
        <v>660</v>
      </c>
      <c r="B2" s="945"/>
      <c r="C2" s="945"/>
      <c r="D2" s="945"/>
      <c r="E2" s="945"/>
      <c r="F2" s="945"/>
      <c r="G2" s="945"/>
      <c r="H2" s="945"/>
      <c r="I2" s="945"/>
    </row>
    <row r="3" spans="1:12" ht="18.75" x14ac:dyDescent="0.35">
      <c r="A3" s="945" t="s">
        <v>56</v>
      </c>
      <c r="B3" s="945"/>
      <c r="C3" s="945"/>
      <c r="D3" s="945"/>
      <c r="E3" s="945"/>
      <c r="F3" s="945"/>
      <c r="G3" s="945"/>
      <c r="H3" s="945"/>
      <c r="I3" s="945"/>
    </row>
    <row r="4" spans="1:12" ht="15" x14ac:dyDescent="0.2">
      <c r="A4" s="990"/>
      <c r="B4" s="990"/>
      <c r="C4" s="990"/>
      <c r="D4" s="990"/>
      <c r="E4" s="990"/>
      <c r="F4" s="990"/>
      <c r="G4" s="990"/>
      <c r="H4" s="990"/>
      <c r="I4" s="990"/>
    </row>
    <row r="5" spans="1:12" s="124" customFormat="1" x14ac:dyDescent="0.2">
      <c r="A5" s="929" t="s">
        <v>611</v>
      </c>
      <c r="I5" s="125"/>
    </row>
    <row r="6" spans="1:12" ht="16.5" thickBot="1" x14ac:dyDescent="0.3">
      <c r="A6" s="991" t="s">
        <v>77</v>
      </c>
      <c r="B6" s="991"/>
      <c r="C6" s="991"/>
      <c r="D6" s="991"/>
      <c r="E6" s="991"/>
      <c r="F6" s="991"/>
      <c r="G6" s="991"/>
      <c r="H6" s="949"/>
      <c r="I6" s="949"/>
    </row>
    <row r="7" spans="1:12" ht="54.75" customHeight="1" thickTop="1" x14ac:dyDescent="0.2">
      <c r="A7" s="43"/>
      <c r="B7" s="1016" t="s">
        <v>28</v>
      </c>
      <c r="C7" s="1017"/>
      <c r="D7" s="982"/>
      <c r="E7" s="42" t="s">
        <v>27</v>
      </c>
      <c r="F7" s="41" t="s">
        <v>26</v>
      </c>
      <c r="G7" s="41" t="s">
        <v>326</v>
      </c>
      <c r="H7" s="1011" t="s">
        <v>25</v>
      </c>
      <c r="I7" s="1012"/>
      <c r="J7" s="440" t="s">
        <v>324</v>
      </c>
      <c r="K7" s="75"/>
      <c r="L7" s="1"/>
    </row>
    <row r="8" spans="1:12" s="9" customFormat="1" ht="13.5" thickBot="1" x14ac:dyDescent="0.25">
      <c r="A8" s="40" t="s">
        <v>10</v>
      </c>
      <c r="B8" s="39" t="s">
        <v>24</v>
      </c>
      <c r="C8" s="39" t="s">
        <v>23</v>
      </c>
      <c r="D8" s="39" t="s">
        <v>0</v>
      </c>
      <c r="E8" s="39" t="s">
        <v>12</v>
      </c>
      <c r="F8" s="39" t="s">
        <v>12</v>
      </c>
      <c r="G8" s="39" t="s">
        <v>22</v>
      </c>
      <c r="H8" s="38" t="s">
        <v>12</v>
      </c>
      <c r="I8" s="96" t="s">
        <v>4</v>
      </c>
      <c r="J8" s="37" t="s">
        <v>4</v>
      </c>
      <c r="L8" s="45"/>
    </row>
    <row r="9" spans="1:12" ht="15" thickTop="1" x14ac:dyDescent="0.2">
      <c r="A9" s="36" t="s">
        <v>21</v>
      </c>
      <c r="B9" s="74" t="s">
        <v>3</v>
      </c>
      <c r="C9" s="74" t="s">
        <v>3</v>
      </c>
      <c r="D9" s="34">
        <v>0.87</v>
      </c>
      <c r="E9" s="995">
        <v>2000</v>
      </c>
      <c r="F9" s="5">
        <f>H9/((100-G9)/100)</f>
        <v>8.6999999999999993</v>
      </c>
      <c r="G9" s="34">
        <v>90</v>
      </c>
      <c r="H9" s="33">
        <f>D9*E9/2000</f>
        <v>0.87</v>
      </c>
      <c r="I9" s="437">
        <f>H9*4.38</f>
        <v>3.8106</v>
      </c>
      <c r="J9" s="32">
        <f>F9*4.38</f>
        <v>38.105999999999995</v>
      </c>
      <c r="K9" s="1"/>
      <c r="L9" s="1"/>
    </row>
    <row r="10" spans="1:12" ht="15" x14ac:dyDescent="0.25">
      <c r="A10" s="31" t="s">
        <v>20</v>
      </c>
      <c r="B10" s="73" t="s">
        <v>3</v>
      </c>
      <c r="C10" s="73" t="s">
        <v>3</v>
      </c>
      <c r="D10" s="29">
        <v>0.87</v>
      </c>
      <c r="E10" s="996"/>
      <c r="F10" s="5">
        <f>H10/((100-G10)/100)</f>
        <v>8.6999999999999993</v>
      </c>
      <c r="G10" s="29">
        <v>90</v>
      </c>
      <c r="H10" s="33">
        <f>D10*E9/2000</f>
        <v>0.87</v>
      </c>
      <c r="I10" s="438">
        <f>H10*4.38</f>
        <v>3.8106</v>
      </c>
      <c r="J10" s="32">
        <f>F10*4.38</f>
        <v>38.105999999999995</v>
      </c>
      <c r="K10" s="1"/>
      <c r="L10" s="1"/>
    </row>
    <row r="11" spans="1:12" ht="15" x14ac:dyDescent="0.25">
      <c r="A11" s="31" t="s">
        <v>76</v>
      </c>
      <c r="B11" s="73" t="s">
        <v>3</v>
      </c>
      <c r="C11" s="73" t="s">
        <v>3</v>
      </c>
      <c r="D11" s="29">
        <v>0.87</v>
      </c>
      <c r="E11" s="996"/>
      <c r="F11" s="5">
        <f>H11/((100-G11)/100)</f>
        <v>8.6999999999999993</v>
      </c>
      <c r="G11" s="29">
        <v>90</v>
      </c>
      <c r="H11" s="33">
        <f>D11*E9/2000</f>
        <v>0.87</v>
      </c>
      <c r="I11" s="438">
        <f>H11*4.38</f>
        <v>3.8106</v>
      </c>
      <c r="J11" s="32">
        <f>F11*4.38</f>
        <v>38.105999999999995</v>
      </c>
      <c r="K11" s="1"/>
      <c r="L11" s="1"/>
    </row>
    <row r="12" spans="1:12" ht="15" thickBot="1" x14ac:dyDescent="0.25">
      <c r="A12" s="40" t="s">
        <v>228</v>
      </c>
      <c r="B12" s="49" t="s">
        <v>223</v>
      </c>
      <c r="C12" s="49" t="s">
        <v>223</v>
      </c>
      <c r="D12" s="23">
        <v>8.5000000000000006E-2</v>
      </c>
      <c r="E12" s="997"/>
      <c r="F12" s="24">
        <f>H12</f>
        <v>8.5000000000000006E-2</v>
      </c>
      <c r="G12" s="131" t="s">
        <v>223</v>
      </c>
      <c r="H12" s="22">
        <f>D12*E9/2000</f>
        <v>8.5000000000000006E-2</v>
      </c>
      <c r="I12" s="439">
        <f>H12*4.38</f>
        <v>0.37230000000000002</v>
      </c>
      <c r="J12" s="441">
        <f>F12*4.38</f>
        <v>0.37230000000000002</v>
      </c>
      <c r="K12" s="1"/>
      <c r="L12" s="1"/>
    </row>
    <row r="13" spans="1:12" ht="14.25" thickTop="1" x14ac:dyDescent="0.2">
      <c r="A13" s="20" t="s">
        <v>330</v>
      </c>
    </row>
    <row r="14" spans="1:12" ht="14.25" x14ac:dyDescent="0.25">
      <c r="A14" s="20" t="s">
        <v>75</v>
      </c>
    </row>
    <row r="15" spans="1:12" ht="13.5" x14ac:dyDescent="0.2">
      <c r="A15" s="20" t="s">
        <v>229</v>
      </c>
    </row>
    <row r="16" spans="1:12" x14ac:dyDescent="0.2">
      <c r="A16" s="44"/>
    </row>
    <row r="17" spans="1:10" ht="16.5" thickBot="1" x14ac:dyDescent="0.3">
      <c r="A17" s="991" t="s">
        <v>74</v>
      </c>
      <c r="B17" s="991"/>
      <c r="C17" s="991"/>
      <c r="D17" s="991"/>
      <c r="E17" s="991"/>
      <c r="F17" s="991"/>
      <c r="G17" s="991"/>
      <c r="H17" s="991"/>
      <c r="I17" s="991"/>
    </row>
    <row r="18" spans="1:10" ht="56.25" customHeight="1" thickTop="1" x14ac:dyDescent="0.2">
      <c r="A18" s="43"/>
      <c r="B18" s="989" t="s">
        <v>28</v>
      </c>
      <c r="C18" s="989"/>
      <c r="D18" s="989"/>
      <c r="E18" s="42" t="s">
        <v>27</v>
      </c>
      <c r="F18" s="41" t="s">
        <v>26</v>
      </c>
      <c r="G18" s="41" t="s">
        <v>326</v>
      </c>
      <c r="H18" s="1011" t="s">
        <v>25</v>
      </c>
      <c r="I18" s="1012"/>
      <c r="J18" s="440" t="s">
        <v>324</v>
      </c>
    </row>
    <row r="19" spans="1:10" ht="13.5" thickBot="1" x14ac:dyDescent="0.25">
      <c r="A19" s="40" t="s">
        <v>10</v>
      </c>
      <c r="B19" s="39" t="s">
        <v>24</v>
      </c>
      <c r="C19" s="39" t="s">
        <v>23</v>
      </c>
      <c r="D19" s="39" t="s">
        <v>0</v>
      </c>
      <c r="E19" s="39" t="s">
        <v>12</v>
      </c>
      <c r="F19" s="39" t="s">
        <v>12</v>
      </c>
      <c r="G19" s="39" t="s">
        <v>22</v>
      </c>
      <c r="H19" s="38" t="s">
        <v>12</v>
      </c>
      <c r="I19" s="96" t="s">
        <v>4</v>
      </c>
      <c r="J19" s="37" t="s">
        <v>4</v>
      </c>
    </row>
    <row r="20" spans="1:10" ht="15" thickTop="1" x14ac:dyDescent="0.2">
      <c r="A20" s="36" t="s">
        <v>21</v>
      </c>
      <c r="B20" s="5">
        <v>0.56000000000000005</v>
      </c>
      <c r="C20" s="5">
        <v>0.24</v>
      </c>
      <c r="D20" s="5">
        <f>B20+C20</f>
        <v>0.8</v>
      </c>
      <c r="E20" s="995">
        <v>2000</v>
      </c>
      <c r="F20" s="5">
        <f>D20*E20/2000</f>
        <v>0.8</v>
      </c>
      <c r="G20" s="34">
        <v>90</v>
      </c>
      <c r="H20" s="33">
        <f>F20*((100-G20)/100)</f>
        <v>8.0000000000000016E-2</v>
      </c>
      <c r="I20" s="437">
        <f>H20*4.38</f>
        <v>0.35040000000000004</v>
      </c>
      <c r="J20" s="32">
        <f>F20*4.38</f>
        <v>3.504</v>
      </c>
    </row>
    <row r="21" spans="1:10" ht="15" x14ac:dyDescent="0.25">
      <c r="A21" s="31" t="s">
        <v>20</v>
      </c>
      <c r="B21" s="4">
        <f>0.85*B20</f>
        <v>0.47600000000000003</v>
      </c>
      <c r="C21" s="4">
        <v>0.24</v>
      </c>
      <c r="D21" s="4">
        <f>B21+C21</f>
        <v>0.71599999999999997</v>
      </c>
      <c r="E21" s="996"/>
      <c r="F21" s="5">
        <f>D21*E20/2000</f>
        <v>0.71599999999999997</v>
      </c>
      <c r="G21" s="29">
        <v>90</v>
      </c>
      <c r="H21" s="28">
        <f>F21*((100-G21)/100)</f>
        <v>7.1599999999999997E-2</v>
      </c>
      <c r="I21" s="438">
        <f>H21*4.38</f>
        <v>0.313608</v>
      </c>
      <c r="J21" s="32">
        <f>F21*4.38</f>
        <v>3.1360799999999998</v>
      </c>
    </row>
    <row r="22" spans="1:10" ht="15" x14ac:dyDescent="0.25">
      <c r="A22" s="31" t="s">
        <v>19</v>
      </c>
      <c r="B22" s="4">
        <f>B20*0.3</f>
        <v>0.16800000000000001</v>
      </c>
      <c r="C22" s="4">
        <v>0.24</v>
      </c>
      <c r="D22" s="4">
        <f>B22+C22</f>
        <v>0.40800000000000003</v>
      </c>
      <c r="E22" s="996"/>
      <c r="F22" s="5">
        <f>D22*E20/2000</f>
        <v>0.40800000000000003</v>
      </c>
      <c r="G22" s="29">
        <v>90</v>
      </c>
      <c r="H22" s="28">
        <f>F22*((100-G22)/100)</f>
        <v>4.0800000000000003E-2</v>
      </c>
      <c r="I22" s="438">
        <f>H22*4.38</f>
        <v>0.178704</v>
      </c>
      <c r="J22" s="32">
        <f>F22*4.38</f>
        <v>1.7870400000000002</v>
      </c>
    </row>
    <row r="23" spans="1:10" ht="15" thickBot="1" x14ac:dyDescent="0.25">
      <c r="A23" s="40" t="s">
        <v>33</v>
      </c>
      <c r="B23" s="132" t="s">
        <v>223</v>
      </c>
      <c r="C23" s="132" t="s">
        <v>223</v>
      </c>
      <c r="D23" s="133">
        <v>8.5000000000000006E-2</v>
      </c>
      <c r="E23" s="997"/>
      <c r="F23" s="24">
        <f>D23*E20/2000</f>
        <v>8.5000000000000006E-2</v>
      </c>
      <c r="G23" s="131" t="s">
        <v>223</v>
      </c>
      <c r="H23" s="443">
        <f>F23</f>
        <v>8.5000000000000006E-2</v>
      </c>
      <c r="I23" s="439">
        <f>H23*4.38</f>
        <v>0.37230000000000002</v>
      </c>
      <c r="J23" s="441">
        <f>F23*4.38</f>
        <v>0.37230000000000002</v>
      </c>
    </row>
    <row r="24" spans="1:10" ht="14.25" thickTop="1" x14ac:dyDescent="0.2">
      <c r="A24" s="20" t="s">
        <v>32</v>
      </c>
      <c r="J24"/>
    </row>
    <row r="25" spans="1:10" ht="28.5" customHeight="1" x14ac:dyDescent="0.2">
      <c r="A25" s="980" t="s">
        <v>73</v>
      </c>
      <c r="B25" s="980"/>
      <c r="C25" s="980"/>
      <c r="D25" s="980"/>
      <c r="E25" s="980"/>
      <c r="F25" s="980"/>
      <c r="G25" s="980"/>
      <c r="H25" s="980"/>
      <c r="I25" s="980"/>
      <c r="J25" s="980"/>
    </row>
    <row r="26" spans="1:10" ht="27.75" customHeight="1" x14ac:dyDescent="0.2">
      <c r="A26" s="980" t="s">
        <v>72</v>
      </c>
      <c r="B26" s="980"/>
      <c r="C26" s="980"/>
      <c r="D26" s="980"/>
      <c r="E26" s="980"/>
      <c r="F26" s="980"/>
      <c r="G26" s="980"/>
      <c r="H26" s="980"/>
      <c r="I26" s="980"/>
      <c r="J26" s="980"/>
    </row>
    <row r="27" spans="1:10" ht="13.5" x14ac:dyDescent="0.2">
      <c r="A27" s="20" t="s">
        <v>227</v>
      </c>
      <c r="B27" s="116"/>
      <c r="C27" s="116"/>
      <c r="D27" s="116"/>
      <c r="E27" s="116"/>
      <c r="F27" s="116"/>
      <c r="G27" s="116"/>
      <c r="H27" s="116"/>
      <c r="I27" s="116"/>
      <c r="J27"/>
    </row>
    <row r="29" spans="1:10" ht="16.5" thickBot="1" x14ac:dyDescent="0.3">
      <c r="A29" s="991" t="s">
        <v>71</v>
      </c>
      <c r="B29" s="991"/>
      <c r="C29" s="991"/>
      <c r="D29" s="991"/>
      <c r="E29" s="991"/>
      <c r="F29" s="991"/>
      <c r="G29" s="991"/>
      <c r="H29" s="991"/>
      <c r="I29" s="991"/>
      <c r="J29"/>
    </row>
    <row r="30" spans="1:10" ht="54.75" customHeight="1" thickTop="1" x14ac:dyDescent="0.2">
      <c r="A30" s="43"/>
      <c r="B30" s="989" t="s">
        <v>28</v>
      </c>
      <c r="C30" s="989"/>
      <c r="D30" s="989"/>
      <c r="E30" s="42" t="s">
        <v>27</v>
      </c>
      <c r="F30" s="41" t="s">
        <v>26</v>
      </c>
      <c r="G30" s="41" t="s">
        <v>326</v>
      </c>
      <c r="H30" s="1011" t="s">
        <v>25</v>
      </c>
      <c r="I30" s="1012"/>
      <c r="J30" s="440" t="s">
        <v>324</v>
      </c>
    </row>
    <row r="31" spans="1:10" ht="13.5" thickBot="1" x14ac:dyDescent="0.25">
      <c r="A31" s="40" t="s">
        <v>10</v>
      </c>
      <c r="B31" s="39" t="s">
        <v>24</v>
      </c>
      <c r="C31" s="39" t="s">
        <v>23</v>
      </c>
      <c r="D31" s="39" t="s">
        <v>0</v>
      </c>
      <c r="E31" s="39" t="s">
        <v>12</v>
      </c>
      <c r="F31" s="39" t="s">
        <v>12</v>
      </c>
      <c r="G31" s="39" t="s">
        <v>22</v>
      </c>
      <c r="H31" s="38" t="s">
        <v>12</v>
      </c>
      <c r="I31" s="96" t="s">
        <v>4</v>
      </c>
      <c r="J31" s="37" t="s">
        <v>4</v>
      </c>
    </row>
    <row r="32" spans="1:10" ht="15" thickTop="1" x14ac:dyDescent="0.2">
      <c r="A32" s="36" t="s">
        <v>21</v>
      </c>
      <c r="B32" s="35" t="s">
        <v>3</v>
      </c>
      <c r="C32" s="35" t="s">
        <v>3</v>
      </c>
      <c r="D32" s="738">
        <v>0.73</v>
      </c>
      <c r="E32" s="984">
        <v>2000</v>
      </c>
      <c r="F32" s="5">
        <f>D32*E32/2000</f>
        <v>0.73</v>
      </c>
      <c r="G32" s="34">
        <v>90</v>
      </c>
      <c r="H32" s="33">
        <f>F32*((100-G32)/100)</f>
        <v>7.2999999999999995E-2</v>
      </c>
      <c r="I32" s="437">
        <f>H32*4.38</f>
        <v>0.31973999999999997</v>
      </c>
      <c r="J32" s="770">
        <f>F32*4.38</f>
        <v>3.1974</v>
      </c>
    </row>
    <row r="33" spans="1:10" ht="15" x14ac:dyDescent="0.25">
      <c r="A33" s="31" t="s">
        <v>20</v>
      </c>
      <c r="B33" s="30" t="s">
        <v>3</v>
      </c>
      <c r="C33" s="30" t="s">
        <v>3</v>
      </c>
      <c r="D33" s="739">
        <v>0.47</v>
      </c>
      <c r="E33" s="985"/>
      <c r="F33" s="5">
        <f>D33*E32/2000</f>
        <v>0.47</v>
      </c>
      <c r="G33" s="29">
        <v>90</v>
      </c>
      <c r="H33" s="28">
        <f>F33*((100-G33)/100)</f>
        <v>4.7E-2</v>
      </c>
      <c r="I33" s="772">
        <f>H33*4.38</f>
        <v>0.20585999999999999</v>
      </c>
      <c r="J33" s="770">
        <f>F33*4.38</f>
        <v>2.0585999999999998</v>
      </c>
    </row>
    <row r="34" spans="1:10" ht="15.75" thickBot="1" x14ac:dyDescent="0.3">
      <c r="A34" s="26" t="s">
        <v>19</v>
      </c>
      <c r="B34" s="25" t="s">
        <v>3</v>
      </c>
      <c r="C34" s="25" t="s">
        <v>3</v>
      </c>
      <c r="D34" s="740">
        <v>0.47</v>
      </c>
      <c r="E34" s="986"/>
      <c r="F34" s="24">
        <f>D34*E32/2000</f>
        <v>0.47</v>
      </c>
      <c r="G34" s="23">
        <v>90</v>
      </c>
      <c r="H34" s="22">
        <f>F34*((100-G34)/100)</f>
        <v>4.7E-2</v>
      </c>
      <c r="I34" s="773">
        <f>H34*4.38</f>
        <v>0.20585999999999999</v>
      </c>
      <c r="J34" s="771">
        <f>F34*4.38</f>
        <v>2.0585999999999998</v>
      </c>
    </row>
    <row r="35" spans="1:10" ht="14.25" thickTop="1" x14ac:dyDescent="0.2">
      <c r="A35" s="20" t="s">
        <v>70</v>
      </c>
      <c r="J35"/>
    </row>
    <row r="36" spans="1:10" ht="14.25" x14ac:dyDescent="0.25">
      <c r="A36" s="20" t="s">
        <v>69</v>
      </c>
      <c r="J36"/>
    </row>
    <row r="37" spans="1:10" ht="14.25" x14ac:dyDescent="0.25">
      <c r="A37" s="20" t="s">
        <v>68</v>
      </c>
      <c r="J37"/>
    </row>
    <row r="38" spans="1:10" ht="13.5" x14ac:dyDescent="0.2">
      <c r="A38" s="20"/>
      <c r="J38"/>
    </row>
    <row r="39" spans="1:10" ht="16.5" thickBot="1" x14ac:dyDescent="0.3">
      <c r="A39" s="991" t="s">
        <v>67</v>
      </c>
      <c r="B39" s="991"/>
      <c r="C39" s="991"/>
      <c r="D39" s="991"/>
      <c r="E39" s="991"/>
      <c r="F39" s="991"/>
      <c r="G39" s="991"/>
      <c r="H39" s="991"/>
      <c r="I39" s="991"/>
      <c r="J39"/>
    </row>
    <row r="40" spans="1:10" ht="54" customHeight="1" thickTop="1" x14ac:dyDescent="0.2">
      <c r="A40" s="43"/>
      <c r="B40" s="989" t="s">
        <v>28</v>
      </c>
      <c r="C40" s="989"/>
      <c r="D40" s="989"/>
      <c r="E40" s="42" t="s">
        <v>27</v>
      </c>
      <c r="F40" s="41" t="s">
        <v>26</v>
      </c>
      <c r="G40" s="41" t="s">
        <v>326</v>
      </c>
      <c r="H40" s="1011" t="s">
        <v>25</v>
      </c>
      <c r="I40" s="1012"/>
      <c r="J40" s="440" t="s">
        <v>324</v>
      </c>
    </row>
    <row r="41" spans="1:10" ht="13.5" thickBot="1" x14ac:dyDescent="0.25">
      <c r="A41" s="40" t="s">
        <v>10</v>
      </c>
      <c r="B41" s="39" t="s">
        <v>24</v>
      </c>
      <c r="C41" s="39" t="s">
        <v>23</v>
      </c>
      <c r="D41" s="39" t="s">
        <v>0</v>
      </c>
      <c r="E41" s="39" t="s">
        <v>12</v>
      </c>
      <c r="F41" s="39" t="s">
        <v>12</v>
      </c>
      <c r="G41" s="39" t="s">
        <v>22</v>
      </c>
      <c r="H41" s="38" t="s">
        <v>12</v>
      </c>
      <c r="I41" s="96" t="s">
        <v>4</v>
      </c>
      <c r="J41" s="37" t="s">
        <v>4</v>
      </c>
    </row>
    <row r="42" spans="1:10" ht="15" thickTop="1" x14ac:dyDescent="0.2">
      <c r="A42" s="36" t="s">
        <v>21</v>
      </c>
      <c r="B42" s="5">
        <f>0.067/0.2</f>
        <v>0.33500000000000002</v>
      </c>
      <c r="C42" s="35" t="s">
        <v>3</v>
      </c>
      <c r="D42" s="5">
        <f>B42</f>
        <v>0.33500000000000002</v>
      </c>
      <c r="E42" s="1013">
        <v>2000</v>
      </c>
      <c r="F42" s="5">
        <f>($E$42/2000)*D42</f>
        <v>0.33500000000000002</v>
      </c>
      <c r="G42" s="34">
        <v>90</v>
      </c>
      <c r="H42" s="33">
        <f>F42*((100-G42)/100)</f>
        <v>3.3500000000000002E-2</v>
      </c>
      <c r="I42" s="437">
        <f>H42*4.38</f>
        <v>0.14673</v>
      </c>
      <c r="J42" s="32">
        <f>F42*4.38</f>
        <v>1.4673</v>
      </c>
    </row>
    <row r="43" spans="1:10" ht="15" x14ac:dyDescent="0.25">
      <c r="A43" s="31" t="s">
        <v>20</v>
      </c>
      <c r="B43" s="4">
        <f>0.85*B42</f>
        <v>0.28475</v>
      </c>
      <c r="C43" s="30" t="s">
        <v>3</v>
      </c>
      <c r="D43" s="4">
        <f>B43</f>
        <v>0.28475</v>
      </c>
      <c r="E43" s="1014"/>
      <c r="F43" s="4">
        <f>($E$42/2000)*D43</f>
        <v>0.28475</v>
      </c>
      <c r="G43" s="29">
        <v>90</v>
      </c>
      <c r="H43" s="28">
        <f>F43*((100-G43)/100)</f>
        <v>2.8475E-2</v>
      </c>
      <c r="I43" s="438">
        <f>H43*4.38</f>
        <v>0.1247205</v>
      </c>
      <c r="J43" s="32">
        <f>F43*4.38</f>
        <v>1.2472049999999999</v>
      </c>
    </row>
    <row r="44" spans="1:10" ht="15.75" thickBot="1" x14ac:dyDescent="0.3">
      <c r="A44" s="26" t="s">
        <v>19</v>
      </c>
      <c r="B44" s="24">
        <f>B42*0.3</f>
        <v>0.10050000000000001</v>
      </c>
      <c r="C44" s="25" t="s">
        <v>3</v>
      </c>
      <c r="D44" s="24">
        <f>B44</f>
        <v>0.10050000000000001</v>
      </c>
      <c r="E44" s="1015"/>
      <c r="F44" s="24">
        <f>($E$42/2000)*D44</f>
        <v>0.10050000000000001</v>
      </c>
      <c r="G44" s="23">
        <v>90</v>
      </c>
      <c r="H44" s="22">
        <f>F44*((100-G44)/100)</f>
        <v>1.0050000000000002E-2</v>
      </c>
      <c r="I44" s="439">
        <f>H44*4.38</f>
        <v>4.401900000000001E-2</v>
      </c>
      <c r="J44" s="441">
        <f>F44*4.38</f>
        <v>0.44019000000000003</v>
      </c>
    </row>
    <row r="45" spans="1:10" ht="14.25" thickTop="1" x14ac:dyDescent="0.2">
      <c r="A45" s="20" t="s">
        <v>18</v>
      </c>
      <c r="J45"/>
    </row>
    <row r="46" spans="1:10" ht="14.25" x14ac:dyDescent="0.25">
      <c r="A46" s="20" t="s">
        <v>66</v>
      </c>
      <c r="J46"/>
    </row>
    <row r="47" spans="1:10" ht="14.25" x14ac:dyDescent="0.25">
      <c r="A47" s="20" t="s">
        <v>65</v>
      </c>
      <c r="J47"/>
    </row>
    <row r="48" spans="1:10" ht="13.5" x14ac:dyDescent="0.2">
      <c r="A48" s="20"/>
      <c r="J48"/>
    </row>
    <row r="49" spans="1:10" ht="16.5" thickBot="1" x14ac:dyDescent="0.3">
      <c r="A49" s="1004" t="s">
        <v>321</v>
      </c>
      <c r="B49" s="1004"/>
      <c r="C49" s="1004"/>
      <c r="D49" s="1004"/>
      <c r="E49" s="1004"/>
      <c r="F49" s="1004"/>
      <c r="G49" s="1004"/>
      <c r="H49" s="1004"/>
      <c r="I49" s="1004"/>
      <c r="J49"/>
    </row>
    <row r="50" spans="1:10" ht="39" thickTop="1" x14ac:dyDescent="0.2">
      <c r="C50" s="1005" t="s">
        <v>10</v>
      </c>
      <c r="D50" s="1006"/>
      <c r="E50" s="19" t="s">
        <v>15</v>
      </c>
      <c r="F50" s="19" t="s">
        <v>325</v>
      </c>
      <c r="G50" s="18" t="s">
        <v>13</v>
      </c>
      <c r="J50"/>
    </row>
    <row r="51" spans="1:10" ht="13.5" thickBot="1" x14ac:dyDescent="0.25">
      <c r="C51" s="1007"/>
      <c r="D51" s="1008"/>
      <c r="E51" s="17" t="s">
        <v>12</v>
      </c>
      <c r="F51" s="17" t="s">
        <v>4</v>
      </c>
      <c r="G51" s="16" t="s">
        <v>4</v>
      </c>
      <c r="J51"/>
    </row>
    <row r="52" spans="1:10" ht="13.5" thickTop="1" x14ac:dyDescent="0.2">
      <c r="C52" s="1009" t="s">
        <v>9</v>
      </c>
      <c r="D52" s="1010"/>
      <c r="E52" s="15">
        <f>H9+H20+H32+H42</f>
        <v>1.0565</v>
      </c>
      <c r="F52" s="15">
        <f>SUM(J9,J20,J32,J42)</f>
        <v>46.274699999999996</v>
      </c>
      <c r="G52" s="14">
        <f>E52*4.38</f>
        <v>4.6274699999999998</v>
      </c>
      <c r="J52"/>
    </row>
    <row r="53" spans="1:10" ht="14.25" x14ac:dyDescent="0.25">
      <c r="A53"/>
      <c r="B53"/>
      <c r="C53" s="1000" t="s">
        <v>8</v>
      </c>
      <c r="D53" s="1001"/>
      <c r="E53" s="15">
        <f>H10+H21+H33+H43</f>
        <v>1.017075</v>
      </c>
      <c r="F53" s="15">
        <f>SUM(J10,J21,J33,J43)</f>
        <v>44.547884999999994</v>
      </c>
      <c r="G53" s="14">
        <f>E53*4.38</f>
        <v>4.4547884999999994</v>
      </c>
      <c r="H53"/>
      <c r="I53"/>
      <c r="J53"/>
    </row>
    <row r="54" spans="1:10" ht="14.25" x14ac:dyDescent="0.25">
      <c r="A54"/>
      <c r="B54"/>
      <c r="C54" s="1002" t="s">
        <v>7</v>
      </c>
      <c r="D54" s="1003"/>
      <c r="E54" s="134">
        <f>H11+H22+H34+H44</f>
        <v>0.9678500000000001</v>
      </c>
      <c r="F54" s="15">
        <f>SUM(J11,J22,J34,J44)</f>
        <v>42.391829999999992</v>
      </c>
      <c r="G54" s="14">
        <f>E54*4.38</f>
        <v>4.2391830000000006</v>
      </c>
      <c r="H54"/>
      <c r="I54"/>
      <c r="J54"/>
    </row>
    <row r="55" spans="1:10" ht="13.5" thickBot="1" x14ac:dyDescent="0.25">
      <c r="A55"/>
      <c r="B55"/>
      <c r="C55" s="998" t="s">
        <v>6</v>
      </c>
      <c r="D55" s="999"/>
      <c r="E55" s="12">
        <f>H12+H23</f>
        <v>0.17</v>
      </c>
      <c r="F55" s="15">
        <f>SUM(J12,J23,J35,J45)</f>
        <v>0.74460000000000004</v>
      </c>
      <c r="G55" s="14">
        <f>E55*4.38</f>
        <v>0.74460000000000004</v>
      </c>
      <c r="H55"/>
      <c r="I55"/>
      <c r="J55"/>
    </row>
    <row r="56" spans="1:10" ht="13.5" thickTop="1" x14ac:dyDescent="0.2"/>
  </sheetData>
  <mergeCells count="28">
    <mergeCell ref="A1:I1"/>
    <mergeCell ref="A2:I2"/>
    <mergeCell ref="A6:I6"/>
    <mergeCell ref="B7:D7"/>
    <mergeCell ref="H7:I7"/>
    <mergeCell ref="A4:I4"/>
    <mergeCell ref="A3:I3"/>
    <mergeCell ref="A39:I39"/>
    <mergeCell ref="B40:D40"/>
    <mergeCell ref="H40:I40"/>
    <mergeCell ref="E42:E44"/>
    <mergeCell ref="E32:E34"/>
    <mergeCell ref="E9:E12"/>
    <mergeCell ref="A25:J25"/>
    <mergeCell ref="A26:J26"/>
    <mergeCell ref="C55:D55"/>
    <mergeCell ref="C53:D53"/>
    <mergeCell ref="C54:D54"/>
    <mergeCell ref="A49:I49"/>
    <mergeCell ref="C50:D51"/>
    <mergeCell ref="C52:D52"/>
    <mergeCell ref="E20:E23"/>
    <mergeCell ref="A29:I29"/>
    <mergeCell ref="B30:D30"/>
    <mergeCell ref="H30:I30"/>
    <mergeCell ref="A17:I17"/>
    <mergeCell ref="B18:D18"/>
    <mergeCell ref="H18:I18"/>
  </mergeCells>
  <printOptions horizontalCentered="1"/>
  <pageMargins left="0.75" right="0.75" top="1" bottom="1" header="0.5" footer="0.5"/>
  <pageSetup scale="60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Summary</vt:lpstr>
      <vt:lpstr>Summary (Proposed - Boiler 1)</vt:lpstr>
      <vt:lpstr>Summary (Proposed - Boiler 3)</vt:lpstr>
      <vt:lpstr>Combustion (Proposed)</vt:lpstr>
      <vt:lpstr>Boiler 1 (Proposed)</vt:lpstr>
      <vt:lpstr>Combustion (Existing Calcs)</vt:lpstr>
      <vt:lpstr>RAFVO Emission Factors</vt:lpstr>
      <vt:lpstr>EQUI 4</vt:lpstr>
      <vt:lpstr>EQUI 20</vt:lpstr>
      <vt:lpstr>EQUI 21</vt:lpstr>
      <vt:lpstr>EQUI 1, EQUI 2</vt:lpstr>
      <vt:lpstr>EQUI 3, EQUI 16, EQUI 17</vt:lpstr>
      <vt:lpstr>EQUI 18</vt:lpstr>
      <vt:lpstr>EQUI 66, EQUI 8, EQUI 9</vt:lpstr>
      <vt:lpstr>FS001, FS002</vt:lpstr>
      <vt:lpstr>Facility Emissions Summary 3</vt:lpstr>
      <vt:lpstr>Facility Emissions Summary 4</vt:lpstr>
      <vt:lpstr>Total HAPs</vt:lpstr>
      <vt:lpstr>'Boiler 1 (Proposed)'!Print_Area</vt:lpstr>
      <vt:lpstr>'Combustion (Existing Calcs)'!Print_Area</vt:lpstr>
      <vt:lpstr>'Combustion (Proposed)'!Print_Area</vt:lpstr>
      <vt:lpstr>'EQUI 1, EQUI 2'!Print_Area</vt:lpstr>
      <vt:lpstr>'EQUI 18'!Print_Area</vt:lpstr>
      <vt:lpstr>'EQUI 20'!Print_Area</vt:lpstr>
      <vt:lpstr>'EQUI 3, EQUI 16, EQUI 17'!Print_Area</vt:lpstr>
      <vt:lpstr>'EQUI 66, EQUI 8, EQUI 9'!Print_Area</vt:lpstr>
      <vt:lpstr>'Facility Emissions Summary 3'!Print_Area</vt:lpstr>
      <vt:lpstr>'Facility Emissions Summary 4'!Print_Area</vt:lpstr>
      <vt:lpstr>'FS001, FS002'!Print_Area</vt:lpstr>
      <vt:lpstr>Summary!Print_Area</vt:lpstr>
      <vt:lpstr>'Summary (Proposed - Boiler 1)'!Print_Area</vt:lpstr>
      <vt:lpstr>'Summary (Proposed - Boiler 3)'!Print_Area</vt:lpstr>
      <vt:lpstr>'Total HAPs'!Print_Area</vt:lpstr>
      <vt:lpstr>'FS001, FS002'!Print_Titles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Hill Brandt</dc:creator>
  <cp:lastModifiedBy>Johnson, Tyler K.</cp:lastModifiedBy>
  <cp:lastPrinted>2016-02-11T17:04:46Z</cp:lastPrinted>
  <dcterms:created xsi:type="dcterms:W3CDTF">2013-01-08T13:12:05Z</dcterms:created>
  <dcterms:modified xsi:type="dcterms:W3CDTF">2016-03-04T18:11:36Z</dcterms:modified>
</cp:coreProperties>
</file>