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525" yWindow="180" windowWidth="27150" windowHeight="12900" firstSheet="8" activeTab="10"/>
  </bookViews>
  <sheets>
    <sheet name="Summary" sheetId="2" r:id="rId1"/>
    <sheet name="Combustion (Proposed)" sheetId="1" r:id="rId2"/>
    <sheet name="Total HAPs" sheetId="16" r:id="rId3"/>
    <sheet name="EU002" sheetId="5" r:id="rId4"/>
    <sheet name="EU003" sheetId="6" r:id="rId5"/>
    <sheet name="EU005" sheetId="7" r:id="rId6"/>
    <sheet name="EU009, EU010" sheetId="9" r:id="rId7"/>
    <sheet name="EU011, EU012 &amp; EU013" sheetId="10" r:id="rId8"/>
    <sheet name="EU014" sheetId="11" r:id="rId9"/>
    <sheet name="EU020, EU021 &amp; EU022" sheetId="3" r:id="rId10"/>
    <sheet name="Combustion (Existing Calcs)" sheetId="15" r:id="rId11"/>
    <sheet name="Sheet1" sheetId="17" r:id="rId12"/>
  </sheets>
  <definedNames>
    <definedName name="CO2_RECOVERY">#REF!</definedName>
    <definedName name="COOLER">#REF!</definedName>
    <definedName name="DDGS_HANDLING">#REF!</definedName>
    <definedName name="DISTILLATION">#REF!</definedName>
    <definedName name="DRYER_PM_VOC">#REF!</definedName>
    <definedName name="EAW_TOTAL">#REF!</definedName>
    <definedName name="EQUIPMENT_LEAKS">#REF!</definedName>
    <definedName name="FERMENTATION">#REF!</definedName>
    <definedName name="FILENAME">#REF!</definedName>
    <definedName name="GRAIN_RECEIVING">#REF!</definedName>
    <definedName name="LABELING">#REF!</definedName>
    <definedName name="LOADING_RACK">#REF!</definedName>
    <definedName name="_xlnm.Print_Area" localSheetId="10">'Combustion (Existing Calcs)'!$A$1:$M$190</definedName>
    <definedName name="_xlnm.Print_Area" localSheetId="1">'Combustion (Proposed)'!$A$1:$M$261</definedName>
    <definedName name="_xlnm.Print_Area" localSheetId="9">'EU020, EU021 &amp; EU022'!$A$1:$I$45</definedName>
    <definedName name="_xlnm.Print_Area" localSheetId="2">'Total HAPs'!$A$1:$L$44</definedName>
    <definedName name="VOC_DRYER">#REF!</definedName>
  </definedNames>
  <calcPr calcId="145621"/>
</workbook>
</file>

<file path=xl/calcChain.xml><?xml version="1.0" encoding="utf-8"?>
<calcChain xmlns="http://schemas.openxmlformats.org/spreadsheetml/2006/main">
  <c r="B8" i="15" l="1"/>
  <c r="G11" i="15" s="1"/>
  <c r="H30" i="16" l="1"/>
  <c r="F30" i="16"/>
  <c r="F39" i="5"/>
  <c r="G39" i="5" s="1"/>
  <c r="B398" i="15"/>
  <c r="B399" i="15"/>
  <c r="B400" i="15"/>
  <c r="F182" i="1"/>
  <c r="F118" i="1"/>
  <c r="F54" i="1"/>
  <c r="L198" i="1"/>
  <c r="L134" i="1"/>
  <c r="L6" i="1"/>
  <c r="L70" i="1"/>
  <c r="D175" i="15"/>
  <c r="D118" i="1" l="1"/>
  <c r="H9" i="15" l="1"/>
  <c r="H9" i="1"/>
  <c r="F50" i="1" s="1"/>
  <c r="E118" i="1"/>
  <c r="B7" i="1"/>
  <c r="G188" i="1" s="1"/>
  <c r="B71" i="1"/>
  <c r="E184" i="1"/>
  <c r="E182" i="1"/>
  <c r="D182" i="1"/>
  <c r="E120" i="1"/>
  <c r="H137" i="1"/>
  <c r="H136" i="1"/>
  <c r="B136" i="1" s="1"/>
  <c r="I179" i="1" s="1"/>
  <c r="B135" i="1"/>
  <c r="H134" i="1"/>
  <c r="H73" i="1"/>
  <c r="H72" i="1"/>
  <c r="B72" i="1" s="1"/>
  <c r="I122" i="1" s="1"/>
  <c r="H70" i="1"/>
  <c r="B137" i="1" l="1"/>
  <c r="F178" i="1"/>
  <c r="B73" i="1"/>
  <c r="F114" i="1"/>
  <c r="G187" i="1"/>
  <c r="B9" i="1"/>
  <c r="I183" i="1"/>
  <c r="I118" i="1"/>
  <c r="I120" i="1"/>
  <c r="I185" i="1"/>
  <c r="I184" i="1"/>
  <c r="I121" i="1"/>
  <c r="I124" i="1"/>
  <c r="I186" i="1"/>
  <c r="I116" i="1"/>
  <c r="I117" i="1"/>
  <c r="I182" i="1"/>
  <c r="I115" i="1"/>
  <c r="I123" i="1"/>
  <c r="I188" i="1"/>
  <c r="I181" i="1"/>
  <c r="G182" i="1"/>
  <c r="G143" i="1"/>
  <c r="G145" i="1"/>
  <c r="I145" i="1" s="1"/>
  <c r="G149" i="1"/>
  <c r="I149" i="1" s="1"/>
  <c r="G151" i="1"/>
  <c r="G156" i="1"/>
  <c r="G158" i="1"/>
  <c r="G162" i="1"/>
  <c r="G171" i="1"/>
  <c r="G173" i="1"/>
  <c r="I173" i="1" s="1"/>
  <c r="G178" i="1"/>
  <c r="G180" i="1"/>
  <c r="G183" i="1"/>
  <c r="G140" i="1"/>
  <c r="G144" i="1"/>
  <c r="G146" i="1"/>
  <c r="G150" i="1"/>
  <c r="G153" i="1"/>
  <c r="I153" i="1" s="1"/>
  <c r="G163" i="1"/>
  <c r="G168" i="1"/>
  <c r="G172" i="1"/>
  <c r="G174" i="1"/>
  <c r="G123" i="1"/>
  <c r="G119" i="1"/>
  <c r="G114" i="1"/>
  <c r="G107" i="1"/>
  <c r="G111" i="1"/>
  <c r="G91" i="1"/>
  <c r="G95" i="1"/>
  <c r="G99" i="1"/>
  <c r="G76" i="1"/>
  <c r="I76" i="1" s="1"/>
  <c r="G80" i="1"/>
  <c r="G84" i="1"/>
  <c r="I84" i="1" s="1"/>
  <c r="G75" i="1"/>
  <c r="G124" i="1"/>
  <c r="G118" i="1"/>
  <c r="G115" i="1"/>
  <c r="G106" i="1"/>
  <c r="G110" i="1"/>
  <c r="G90" i="1"/>
  <c r="G94" i="1"/>
  <c r="B134" i="1"/>
  <c r="G85" i="1"/>
  <c r="G79" i="1"/>
  <c r="G89" i="1"/>
  <c r="G96" i="1"/>
  <c r="I96" i="1" s="1"/>
  <c r="G112" i="1"/>
  <c r="I112" i="1" s="1"/>
  <c r="G104" i="1"/>
  <c r="I104" i="1" s="1"/>
  <c r="G116" i="1"/>
  <c r="G167" i="1"/>
  <c r="G164" i="1"/>
  <c r="G154" i="1"/>
  <c r="G147" i="1"/>
  <c r="G141" i="1"/>
  <c r="I141" i="1" s="1"/>
  <c r="G186" i="1"/>
  <c r="B70" i="1"/>
  <c r="H118" i="1" s="1"/>
  <c r="G86" i="1"/>
  <c r="G81" i="1"/>
  <c r="G87" i="1"/>
  <c r="G97" i="1"/>
  <c r="G103" i="1"/>
  <c r="G105" i="1"/>
  <c r="G117" i="1"/>
  <c r="G159" i="1"/>
  <c r="G155" i="1"/>
  <c r="G148" i="1"/>
  <c r="G142" i="1"/>
  <c r="G181" i="1"/>
  <c r="G82" i="1"/>
  <c r="G77" i="1"/>
  <c r="G98" i="1"/>
  <c r="G92" i="1"/>
  <c r="G108" i="1"/>
  <c r="G120" i="1"/>
  <c r="G175" i="1"/>
  <c r="I175" i="1" s="1"/>
  <c r="G169" i="1"/>
  <c r="G160" i="1"/>
  <c r="G179" i="1"/>
  <c r="G184" i="1"/>
  <c r="G83" i="1"/>
  <c r="G78" i="1"/>
  <c r="G100" i="1"/>
  <c r="I100" i="1" s="1"/>
  <c r="G93" i="1"/>
  <c r="G109" i="1"/>
  <c r="G121" i="1"/>
  <c r="G122" i="1"/>
  <c r="G139" i="1"/>
  <c r="G176" i="1"/>
  <c r="G170" i="1"/>
  <c r="G161" i="1"/>
  <c r="G157" i="1"/>
  <c r="I157" i="1" s="1"/>
  <c r="G185" i="1"/>
  <c r="I119" i="1"/>
  <c r="I187" i="1"/>
  <c r="I180" i="1"/>
  <c r="G177" i="1" l="1"/>
  <c r="G113" i="1"/>
  <c r="J178" i="1"/>
  <c r="I159" i="1"/>
  <c r="K159" i="1" s="1"/>
  <c r="I155" i="1"/>
  <c r="I172" i="1"/>
  <c r="K172" i="1" s="1"/>
  <c r="I148" i="1"/>
  <c r="I142" i="1"/>
  <c r="I164" i="1"/>
  <c r="I163" i="1"/>
  <c r="I178" i="1"/>
  <c r="J180" i="1"/>
  <c r="J184" i="1"/>
  <c r="J188" i="1"/>
  <c r="J140" i="1"/>
  <c r="J145" i="1"/>
  <c r="J149" i="1"/>
  <c r="J155" i="1"/>
  <c r="J162" i="1"/>
  <c r="J166" i="1"/>
  <c r="J183" i="1"/>
  <c r="J148" i="1"/>
  <c r="J161" i="1"/>
  <c r="J142" i="1"/>
  <c r="J153" i="1"/>
  <c r="J164" i="1"/>
  <c r="J181" i="1"/>
  <c r="J185" i="1"/>
  <c r="J179" i="1"/>
  <c r="J141" i="1"/>
  <c r="J146" i="1"/>
  <c r="J152" i="1"/>
  <c r="J157" i="1"/>
  <c r="J163" i="1"/>
  <c r="J139" i="1"/>
  <c r="J187" i="1"/>
  <c r="J143" i="1"/>
  <c r="J154" i="1"/>
  <c r="J165" i="1"/>
  <c r="J186" i="1"/>
  <c r="J189" i="1" s="1"/>
  <c r="J147" i="1"/>
  <c r="J160" i="1"/>
  <c r="J182" i="1"/>
  <c r="I176" i="1"/>
  <c r="I168" i="1"/>
  <c r="I160" i="1"/>
  <c r="I147" i="1"/>
  <c r="I151" i="1"/>
  <c r="K151" i="1" s="1"/>
  <c r="I174" i="1"/>
  <c r="I140" i="1"/>
  <c r="I81" i="1"/>
  <c r="I75" i="1"/>
  <c r="I107" i="1"/>
  <c r="I93" i="1"/>
  <c r="I87" i="1"/>
  <c r="K87" i="1" s="1"/>
  <c r="E19" i="16" s="1"/>
  <c r="I85" i="1"/>
  <c r="I110" i="1"/>
  <c r="I111" i="1"/>
  <c r="I109" i="1"/>
  <c r="I83" i="1"/>
  <c r="I92" i="1"/>
  <c r="K92" i="1" s="1"/>
  <c r="E24" i="16" s="1"/>
  <c r="I97" i="1"/>
  <c r="I79" i="1"/>
  <c r="I90" i="1"/>
  <c r="I80" i="1"/>
  <c r="K80" i="1" s="1"/>
  <c r="E12" i="16" s="1"/>
  <c r="I91" i="1"/>
  <c r="J114" i="1"/>
  <c r="I77" i="1"/>
  <c r="I105" i="1"/>
  <c r="I106" i="1"/>
  <c r="I99" i="1"/>
  <c r="J77" i="1"/>
  <c r="J81" i="1"/>
  <c r="J85" i="1"/>
  <c r="J91" i="1"/>
  <c r="J97" i="1"/>
  <c r="J101" i="1"/>
  <c r="J116" i="1"/>
  <c r="J120" i="1"/>
  <c r="J84" i="1"/>
  <c r="J115" i="1"/>
  <c r="J123" i="1"/>
  <c r="J83" i="1"/>
  <c r="J93" i="1"/>
  <c r="J122" i="1"/>
  <c r="J124" i="1"/>
  <c r="J78" i="1"/>
  <c r="J82" i="1"/>
  <c r="J88" i="1"/>
  <c r="J98" i="1"/>
  <c r="J102" i="1"/>
  <c r="J117" i="1"/>
  <c r="J121" i="1"/>
  <c r="J75" i="1"/>
  <c r="J76" i="1"/>
  <c r="J90" i="1"/>
  <c r="J96" i="1"/>
  <c r="J100" i="1"/>
  <c r="J119" i="1"/>
  <c r="J79" i="1"/>
  <c r="J89" i="1"/>
  <c r="J99" i="1"/>
  <c r="J118" i="1"/>
  <c r="K118" i="1" s="1"/>
  <c r="I25" i="2" s="1"/>
  <c r="I78" i="1"/>
  <c r="I108" i="1"/>
  <c r="K108" i="1" s="1"/>
  <c r="E40" i="16" s="1"/>
  <c r="I82" i="1"/>
  <c r="I103" i="1"/>
  <c r="K103" i="1" s="1"/>
  <c r="E35" i="16" s="1"/>
  <c r="I86" i="1"/>
  <c r="K86" i="1" s="1"/>
  <c r="E18" i="16" s="1"/>
  <c r="I89" i="1"/>
  <c r="I94" i="1"/>
  <c r="K94" i="1" s="1"/>
  <c r="E26" i="16" s="1"/>
  <c r="I95" i="1"/>
  <c r="K95" i="1" s="1"/>
  <c r="E27" i="16" s="1"/>
  <c r="J56" i="1"/>
  <c r="J51" i="1"/>
  <c r="J14" i="1"/>
  <c r="J19" i="1"/>
  <c r="J25" i="1"/>
  <c r="J32" i="1"/>
  <c r="J36" i="1"/>
  <c r="J58" i="1"/>
  <c r="J17" i="1"/>
  <c r="J27" i="1"/>
  <c r="J38" i="1"/>
  <c r="J55" i="1"/>
  <c r="J20" i="1"/>
  <c r="J33" i="1"/>
  <c r="J57" i="1"/>
  <c r="J53" i="1"/>
  <c r="J60" i="1"/>
  <c r="J13" i="1"/>
  <c r="J18" i="1"/>
  <c r="J24" i="1"/>
  <c r="J29" i="1"/>
  <c r="J35" i="1"/>
  <c r="J11" i="1"/>
  <c r="J59" i="1"/>
  <c r="J54" i="1"/>
  <c r="J12" i="1"/>
  <c r="J21" i="1"/>
  <c r="J34" i="1"/>
  <c r="K34" i="1" s="1"/>
  <c r="C30" i="16" s="1"/>
  <c r="J52" i="1"/>
  <c r="J15" i="1"/>
  <c r="J26" i="1"/>
  <c r="J37" i="1"/>
  <c r="I125" i="1"/>
  <c r="I126" i="1"/>
  <c r="I189" i="1"/>
  <c r="I139" i="1"/>
  <c r="H180" i="1"/>
  <c r="H183" i="1"/>
  <c r="H140" i="1"/>
  <c r="H146" i="1"/>
  <c r="H153" i="1"/>
  <c r="H163" i="1"/>
  <c r="K163" i="1" s="1"/>
  <c r="G31" i="16" s="1"/>
  <c r="H166" i="1"/>
  <c r="H139" i="1"/>
  <c r="H184" i="1"/>
  <c r="K184" i="1" s="1"/>
  <c r="H141" i="1"/>
  <c r="H147" i="1"/>
  <c r="H154" i="1"/>
  <c r="H160" i="1"/>
  <c r="H164" i="1"/>
  <c r="H186" i="1"/>
  <c r="H143" i="1"/>
  <c r="H149" i="1"/>
  <c r="H181" i="1"/>
  <c r="H142" i="1"/>
  <c r="H148" i="1"/>
  <c r="H155" i="1"/>
  <c r="H179" i="1"/>
  <c r="H145" i="1"/>
  <c r="H152" i="1"/>
  <c r="H162" i="1"/>
  <c r="H165" i="1"/>
  <c r="H185" i="1"/>
  <c r="H157" i="1"/>
  <c r="H161" i="1"/>
  <c r="I156" i="1"/>
  <c r="K156" i="1" s="1"/>
  <c r="I143" i="1"/>
  <c r="I161" i="1"/>
  <c r="I169" i="1"/>
  <c r="I167" i="1"/>
  <c r="K167" i="1" s="1"/>
  <c r="G35" i="16" s="1"/>
  <c r="I144" i="1"/>
  <c r="K144" i="1" s="1"/>
  <c r="G12" i="16" s="1"/>
  <c r="I158" i="1"/>
  <c r="K158" i="1" s="1"/>
  <c r="G26" i="16" s="1"/>
  <c r="I170" i="1"/>
  <c r="G190" i="1"/>
  <c r="I146" i="1"/>
  <c r="G126" i="1"/>
  <c r="G125" i="1"/>
  <c r="H122" i="1"/>
  <c r="H119" i="1"/>
  <c r="K119" i="1" s="1"/>
  <c r="H76" i="1"/>
  <c r="H81" i="1"/>
  <c r="H85" i="1"/>
  <c r="H91" i="1"/>
  <c r="H98" i="1"/>
  <c r="H102" i="1"/>
  <c r="K102" i="1" s="1"/>
  <c r="E34" i="16" s="1"/>
  <c r="H123" i="1"/>
  <c r="H115" i="1"/>
  <c r="H79" i="1"/>
  <c r="H84" i="1"/>
  <c r="H90" i="1"/>
  <c r="H97" i="1"/>
  <c r="H101" i="1"/>
  <c r="H75" i="1"/>
  <c r="H117" i="1"/>
  <c r="H78" i="1"/>
  <c r="H89" i="1"/>
  <c r="H100" i="1"/>
  <c r="H116" i="1"/>
  <c r="H77" i="1"/>
  <c r="H88" i="1"/>
  <c r="H99" i="1"/>
  <c r="H124" i="1"/>
  <c r="H121" i="1"/>
  <c r="H83" i="1"/>
  <c r="H96" i="1"/>
  <c r="H120" i="1"/>
  <c r="K120" i="1" s="1"/>
  <c r="H82" i="1"/>
  <c r="H93" i="1"/>
  <c r="I154" i="1"/>
  <c r="I114" i="1"/>
  <c r="I150" i="1"/>
  <c r="K150" i="1" s="1"/>
  <c r="G18" i="16" s="1"/>
  <c r="I171" i="1"/>
  <c r="I190" i="1"/>
  <c r="H182" i="1"/>
  <c r="G189" i="1"/>
  <c r="B9" i="15"/>
  <c r="J53" i="15" s="1"/>
  <c r="I113" i="1" l="1"/>
  <c r="M151" i="1"/>
  <c r="G19" i="16"/>
  <c r="M172" i="1"/>
  <c r="G40" i="16"/>
  <c r="L159" i="1"/>
  <c r="H27" i="16" s="1"/>
  <c r="G27" i="16"/>
  <c r="S26" i="2"/>
  <c r="G24" i="16"/>
  <c r="I177" i="1"/>
  <c r="K90" i="1"/>
  <c r="E22" i="16" s="1"/>
  <c r="K78" i="1"/>
  <c r="E10" i="16" s="1"/>
  <c r="K142" i="1"/>
  <c r="K147" i="1"/>
  <c r="G15" i="16" s="1"/>
  <c r="K146" i="1"/>
  <c r="G14" i="16" s="1"/>
  <c r="K148" i="1"/>
  <c r="K139" i="1"/>
  <c r="K154" i="1"/>
  <c r="G22" i="16" s="1"/>
  <c r="K99" i="1"/>
  <c r="E31" i="16" s="1"/>
  <c r="K162" i="1"/>
  <c r="G30" i="16" s="1"/>
  <c r="K160" i="1"/>
  <c r="K140" i="1"/>
  <c r="G8" i="16" s="1"/>
  <c r="K143" i="1"/>
  <c r="K157" i="1"/>
  <c r="K179" i="1"/>
  <c r="L179" i="1" s="1"/>
  <c r="K96" i="1"/>
  <c r="E28" i="16" s="1"/>
  <c r="K82" i="1"/>
  <c r="E14" i="16" s="1"/>
  <c r="K166" i="1"/>
  <c r="K98" i="1"/>
  <c r="E30" i="16" s="1"/>
  <c r="K152" i="1"/>
  <c r="G20" i="16" s="1"/>
  <c r="K186" i="1"/>
  <c r="J190" i="1"/>
  <c r="K149" i="1"/>
  <c r="G17" i="16" s="1"/>
  <c r="K180" i="1"/>
  <c r="E26" i="2" s="1"/>
  <c r="K124" i="1"/>
  <c r="L124" i="1" s="1"/>
  <c r="K123" i="1"/>
  <c r="M123" i="1" s="1"/>
  <c r="M147" i="1"/>
  <c r="K91" i="1"/>
  <c r="E23" i="16" s="1"/>
  <c r="K77" i="1"/>
  <c r="E9" i="16" s="1"/>
  <c r="K181" i="1"/>
  <c r="M181" i="1" s="1"/>
  <c r="H26" i="2" s="1"/>
  <c r="K185" i="1"/>
  <c r="M26" i="2" s="1"/>
  <c r="K145" i="1"/>
  <c r="M149" i="1"/>
  <c r="K153" i="1"/>
  <c r="K141" i="1"/>
  <c r="K116" i="1"/>
  <c r="M116" i="1" s="1"/>
  <c r="K85" i="1"/>
  <c r="E17" i="16" s="1"/>
  <c r="K183" i="1"/>
  <c r="K26" i="2" s="1"/>
  <c r="K182" i="1"/>
  <c r="M182" i="1" s="1"/>
  <c r="J26" i="2" s="1"/>
  <c r="K165" i="1"/>
  <c r="K161" i="1"/>
  <c r="K164" i="1"/>
  <c r="K155" i="1"/>
  <c r="K117" i="1"/>
  <c r="K115" i="1"/>
  <c r="K93" i="1"/>
  <c r="E25" i="16" s="1"/>
  <c r="K83" i="1"/>
  <c r="E15" i="16" s="1"/>
  <c r="K89" i="1"/>
  <c r="E21" i="16" s="1"/>
  <c r="K101" i="1"/>
  <c r="E33" i="16" s="1"/>
  <c r="K79" i="1"/>
  <c r="E11" i="16" s="1"/>
  <c r="K97" i="1"/>
  <c r="E29" i="16" s="1"/>
  <c r="K121" i="1"/>
  <c r="M25" i="2" s="1"/>
  <c r="K75" i="1"/>
  <c r="E7" i="16" s="1"/>
  <c r="K81" i="1"/>
  <c r="E13" i="16" s="1"/>
  <c r="J125" i="1"/>
  <c r="J126" i="1"/>
  <c r="K88" i="1"/>
  <c r="E20" i="16" s="1"/>
  <c r="K122" i="1"/>
  <c r="K100" i="1"/>
  <c r="E32" i="16" s="1"/>
  <c r="K76" i="1"/>
  <c r="E8" i="16" s="1"/>
  <c r="K25" i="2"/>
  <c r="K84" i="1"/>
  <c r="E16" i="16" s="1"/>
  <c r="J62" i="1"/>
  <c r="J61" i="1"/>
  <c r="L151" i="1"/>
  <c r="H19" i="16" s="1"/>
  <c r="O26" i="2"/>
  <c r="O25" i="2"/>
  <c r="L147" i="1"/>
  <c r="H15" i="16" s="1"/>
  <c r="L172" i="1"/>
  <c r="H40" i="16" s="1"/>
  <c r="M163" i="1"/>
  <c r="L163" i="1"/>
  <c r="H31" i="16" s="1"/>
  <c r="M159" i="1"/>
  <c r="M164" i="1"/>
  <c r="L184" i="1"/>
  <c r="M184" i="1"/>
  <c r="L183" i="1"/>
  <c r="M183" i="1"/>
  <c r="L26" i="2" s="1"/>
  <c r="L182" i="1"/>
  <c r="L116" i="1"/>
  <c r="M118" i="1"/>
  <c r="J25" i="2" s="1"/>
  <c r="L118" i="1"/>
  <c r="L144" i="1"/>
  <c r="H12" i="16" s="1"/>
  <c r="M144" i="1"/>
  <c r="L119" i="1"/>
  <c r="M119" i="1"/>
  <c r="L25" i="2" s="1"/>
  <c r="M185" i="1"/>
  <c r="N26" i="2" s="1"/>
  <c r="L185" i="1"/>
  <c r="M124" i="1"/>
  <c r="L167" i="1"/>
  <c r="H35" i="16" s="1"/>
  <c r="M167" i="1"/>
  <c r="L165" i="1"/>
  <c r="H33" i="16" s="1"/>
  <c r="L120" i="1"/>
  <c r="M120" i="1"/>
  <c r="L150" i="1"/>
  <c r="H18" i="16" s="1"/>
  <c r="M150" i="1"/>
  <c r="H126" i="1"/>
  <c r="H125" i="1"/>
  <c r="M146" i="1"/>
  <c r="L146" i="1"/>
  <c r="H14" i="16" s="1"/>
  <c r="L156" i="1"/>
  <c r="H24" i="16" s="1"/>
  <c r="M156" i="1"/>
  <c r="T26" i="2" s="1"/>
  <c r="M140" i="1"/>
  <c r="L140" i="1"/>
  <c r="H8" i="16" s="1"/>
  <c r="M154" i="1"/>
  <c r="L154" i="1"/>
  <c r="H22" i="16" s="1"/>
  <c r="L158" i="1"/>
  <c r="H26" i="16" s="1"/>
  <c r="M158" i="1"/>
  <c r="M143" i="1"/>
  <c r="L152" i="1"/>
  <c r="H20" i="16" s="1"/>
  <c r="M152" i="1"/>
  <c r="E245" i="1"/>
  <c r="H199" i="1"/>
  <c r="B199" i="1" s="1"/>
  <c r="I225" i="1"/>
  <c r="E247" i="1"/>
  <c r="E54" i="1"/>
  <c r="D54" i="1"/>
  <c r="J225" i="1" l="1"/>
  <c r="J30" i="16" s="1"/>
  <c r="I30" i="16"/>
  <c r="K30" i="16" s="1"/>
  <c r="L155" i="1"/>
  <c r="H23" i="16" s="1"/>
  <c r="G23" i="16"/>
  <c r="M161" i="1"/>
  <c r="G29" i="16"/>
  <c r="M141" i="1"/>
  <c r="G9" i="16"/>
  <c r="L143" i="1"/>
  <c r="H11" i="16" s="1"/>
  <c r="G11" i="16"/>
  <c r="M160" i="1"/>
  <c r="G28" i="16"/>
  <c r="M139" i="1"/>
  <c r="G7" i="16"/>
  <c r="M142" i="1"/>
  <c r="G10" i="16"/>
  <c r="L164" i="1"/>
  <c r="H32" i="16" s="1"/>
  <c r="G32" i="16"/>
  <c r="M165" i="1"/>
  <c r="G33" i="16"/>
  <c r="L153" i="1"/>
  <c r="H21" i="16" s="1"/>
  <c r="G21" i="16"/>
  <c r="L145" i="1"/>
  <c r="H13" i="16" s="1"/>
  <c r="G13" i="16"/>
  <c r="M166" i="1"/>
  <c r="G34" i="16"/>
  <c r="L157" i="1"/>
  <c r="H25" i="16" s="1"/>
  <c r="G25" i="16"/>
  <c r="M148" i="1"/>
  <c r="G16" i="16"/>
  <c r="L139" i="1"/>
  <c r="H7" i="16" s="1"/>
  <c r="L142" i="1"/>
  <c r="H10" i="16" s="1"/>
  <c r="L123" i="1"/>
  <c r="L148" i="1"/>
  <c r="H16" i="16" s="1"/>
  <c r="M179" i="1"/>
  <c r="D26" i="2" s="1"/>
  <c r="L160" i="1"/>
  <c r="H28" i="16" s="1"/>
  <c r="M145" i="1"/>
  <c r="C26" i="2"/>
  <c r="L141" i="1"/>
  <c r="H9" i="16" s="1"/>
  <c r="I26" i="2"/>
  <c r="L117" i="1"/>
  <c r="L166" i="1"/>
  <c r="H34" i="16" s="1"/>
  <c r="M157" i="1"/>
  <c r="L180" i="1"/>
  <c r="M155" i="1"/>
  <c r="M180" i="1"/>
  <c r="F26" i="2" s="1"/>
  <c r="M115" i="1"/>
  <c r="M153" i="1"/>
  <c r="L161" i="1"/>
  <c r="H29" i="16" s="1"/>
  <c r="L181" i="1"/>
  <c r="L149" i="1"/>
  <c r="H17" i="16" s="1"/>
  <c r="G26" i="2"/>
  <c r="M117" i="1"/>
  <c r="L115" i="1"/>
  <c r="M121" i="1"/>
  <c r="N25" i="2" s="1"/>
  <c r="L121" i="1"/>
  <c r="K125" i="1"/>
  <c r="L125" i="1" s="1"/>
  <c r="K126" i="1"/>
  <c r="Q25" i="2" s="1"/>
  <c r="P25" i="2"/>
  <c r="P26" i="2"/>
  <c r="M122" i="1"/>
  <c r="L122" i="1"/>
  <c r="M186" i="1"/>
  <c r="L186" i="1"/>
  <c r="K225" i="1"/>
  <c r="H247" i="1"/>
  <c r="H251" i="1"/>
  <c r="H242" i="1"/>
  <c r="H246" i="1"/>
  <c r="H250" i="1"/>
  <c r="H244" i="1"/>
  <c r="H249" i="1"/>
  <c r="H243" i="1"/>
  <c r="H248" i="1"/>
  <c r="H245" i="1"/>
  <c r="H8" i="1"/>
  <c r="B8" i="1" s="1"/>
  <c r="E56" i="1"/>
  <c r="D245" i="1"/>
  <c r="B200" i="1"/>
  <c r="F251" i="1" s="1"/>
  <c r="H198" i="1"/>
  <c r="B198" i="1" s="1"/>
  <c r="C549" i="15"/>
  <c r="D565" i="15" s="1"/>
  <c r="E565" i="15" s="1"/>
  <c r="F565" i="15" s="1"/>
  <c r="I537" i="15"/>
  <c r="H537" i="15"/>
  <c r="I536" i="15"/>
  <c r="H536" i="15"/>
  <c r="I535" i="15"/>
  <c r="H535" i="15"/>
  <c r="I534" i="15"/>
  <c r="H534" i="15"/>
  <c r="I533" i="15"/>
  <c r="H533" i="15"/>
  <c r="I532" i="15"/>
  <c r="H532" i="15"/>
  <c r="I531" i="15"/>
  <c r="H531" i="15"/>
  <c r="I530" i="15"/>
  <c r="H530" i="15"/>
  <c r="I529" i="15"/>
  <c r="H529" i="15"/>
  <c r="I528" i="15"/>
  <c r="H528" i="15"/>
  <c r="I527" i="15"/>
  <c r="H527" i="15"/>
  <c r="I525" i="15"/>
  <c r="H525" i="15"/>
  <c r="I524" i="15"/>
  <c r="H524" i="15"/>
  <c r="I523" i="15"/>
  <c r="H523" i="15"/>
  <c r="I522" i="15"/>
  <c r="H522" i="15"/>
  <c r="I521" i="15"/>
  <c r="H521" i="15"/>
  <c r="I520" i="15"/>
  <c r="H520" i="15"/>
  <c r="I519" i="15"/>
  <c r="H519" i="15"/>
  <c r="I518" i="15"/>
  <c r="H518" i="15"/>
  <c r="I517" i="15"/>
  <c r="H517" i="15"/>
  <c r="K516" i="15"/>
  <c r="I515" i="15"/>
  <c r="H515" i="15"/>
  <c r="K515" i="15" s="1"/>
  <c r="L515" i="15" s="1"/>
  <c r="I514" i="15"/>
  <c r="H514" i="15"/>
  <c r="I513" i="15"/>
  <c r="H513" i="15"/>
  <c r="K513" i="15" s="1"/>
  <c r="M513" i="15" s="1"/>
  <c r="I512" i="15"/>
  <c r="H512" i="15"/>
  <c r="K512" i="15" s="1"/>
  <c r="I511" i="15"/>
  <c r="H511" i="15"/>
  <c r="K511" i="15" s="1"/>
  <c r="I510" i="15"/>
  <c r="H510" i="15"/>
  <c r="K510" i="15" s="1"/>
  <c r="I509" i="15"/>
  <c r="H509" i="15"/>
  <c r="I508" i="15"/>
  <c r="H508" i="15"/>
  <c r="K508" i="15" s="1"/>
  <c r="I507" i="15"/>
  <c r="H507" i="15"/>
  <c r="I506" i="15"/>
  <c r="H506" i="15"/>
  <c r="K506" i="15" s="1"/>
  <c r="L506" i="15" s="1"/>
  <c r="I505" i="15"/>
  <c r="H505" i="15"/>
  <c r="K505" i="15" s="1"/>
  <c r="I504" i="15"/>
  <c r="H504" i="15"/>
  <c r="I503" i="15"/>
  <c r="H503" i="15"/>
  <c r="I502" i="15"/>
  <c r="H502" i="15"/>
  <c r="K502" i="15" s="1"/>
  <c r="I500" i="15"/>
  <c r="H500" i="15"/>
  <c r="I499" i="15"/>
  <c r="H499" i="15"/>
  <c r="I498" i="15"/>
  <c r="H498" i="15"/>
  <c r="I497" i="15"/>
  <c r="H497" i="15"/>
  <c r="I496" i="15"/>
  <c r="H496" i="15"/>
  <c r="K496" i="15" s="1"/>
  <c r="K495" i="15"/>
  <c r="I494" i="15"/>
  <c r="H494" i="15"/>
  <c r="I493" i="15"/>
  <c r="H493" i="15"/>
  <c r="I492" i="15"/>
  <c r="H492" i="15"/>
  <c r="K492" i="15" s="1"/>
  <c r="I491" i="15"/>
  <c r="H491" i="15"/>
  <c r="K491" i="15" s="1"/>
  <c r="I490" i="15"/>
  <c r="H490" i="15"/>
  <c r="K490" i="15" s="1"/>
  <c r="I489" i="15"/>
  <c r="H489" i="15"/>
  <c r="K489" i="15" s="1"/>
  <c r="L489" i="15" s="1"/>
  <c r="I488" i="15"/>
  <c r="H488" i="15"/>
  <c r="K488" i="15" s="1"/>
  <c r="L488" i="15" s="1"/>
  <c r="I487" i="15"/>
  <c r="H487" i="15"/>
  <c r="I486" i="15"/>
  <c r="H486" i="15"/>
  <c r="I485" i="15"/>
  <c r="H485" i="15"/>
  <c r="I484" i="15"/>
  <c r="H484" i="15"/>
  <c r="K484" i="15" s="1"/>
  <c r="M484" i="15" s="1"/>
  <c r="I483" i="15"/>
  <c r="H483" i="15"/>
  <c r="I482" i="15"/>
  <c r="H482" i="15"/>
  <c r="I480" i="15"/>
  <c r="H480" i="15"/>
  <c r="K480" i="15" s="1"/>
  <c r="L480" i="15" s="1"/>
  <c r="I479" i="15"/>
  <c r="H479" i="15"/>
  <c r="K479" i="15" s="1"/>
  <c r="I478" i="15"/>
  <c r="H478" i="15"/>
  <c r="K478" i="15" s="1"/>
  <c r="I477" i="15"/>
  <c r="H477" i="15"/>
  <c r="I476" i="15"/>
  <c r="H476" i="15"/>
  <c r="B474" i="15"/>
  <c r="J531" i="15" s="1"/>
  <c r="B473" i="15"/>
  <c r="B472" i="15"/>
  <c r="B471" i="15"/>
  <c r="G537" i="15" s="1"/>
  <c r="G463" i="15"/>
  <c r="P463" i="15" s="1"/>
  <c r="Q463" i="15" s="1"/>
  <c r="R463" i="15" s="1"/>
  <c r="F461" i="15"/>
  <c r="G460" i="15"/>
  <c r="P460" i="15" s="1"/>
  <c r="Q460" i="15" s="1"/>
  <c r="R460" i="15" s="1"/>
  <c r="F460" i="15"/>
  <c r="G459" i="15"/>
  <c r="P459" i="15" s="1"/>
  <c r="Q459" i="15" s="1"/>
  <c r="R459" i="15" s="1"/>
  <c r="F457" i="15"/>
  <c r="G456" i="15"/>
  <c r="P456" i="15" s="1"/>
  <c r="Q456" i="15" s="1"/>
  <c r="R456" i="15" s="1"/>
  <c r="F456" i="15"/>
  <c r="G455" i="15"/>
  <c r="P455" i="15" s="1"/>
  <c r="Q455" i="15" s="1"/>
  <c r="R455" i="15" s="1"/>
  <c r="F453" i="15"/>
  <c r="G451" i="15"/>
  <c r="F451" i="15"/>
  <c r="G450" i="15"/>
  <c r="F448" i="15"/>
  <c r="G447" i="15"/>
  <c r="F447" i="15"/>
  <c r="G446" i="15"/>
  <c r="F444" i="15"/>
  <c r="G443" i="15"/>
  <c r="F443" i="15"/>
  <c r="G442" i="15"/>
  <c r="I442" i="15" s="1"/>
  <c r="I441" i="15"/>
  <c r="F440" i="15"/>
  <c r="I440" i="15" s="1"/>
  <c r="J440" i="15" s="1"/>
  <c r="I439" i="15"/>
  <c r="J439" i="15" s="1"/>
  <c r="I437" i="15"/>
  <c r="K437" i="15" s="1"/>
  <c r="I436" i="15"/>
  <c r="K436" i="15" s="1"/>
  <c r="G435" i="15"/>
  <c r="J434" i="15"/>
  <c r="I434" i="15"/>
  <c r="K434" i="15" s="1"/>
  <c r="G433" i="15"/>
  <c r="I432" i="15"/>
  <c r="K432" i="15" s="1"/>
  <c r="I431" i="15"/>
  <c r="G430" i="15"/>
  <c r="F430" i="15"/>
  <c r="G429" i="15"/>
  <c r="J428" i="15"/>
  <c r="I428" i="15"/>
  <c r="K428" i="15" s="1"/>
  <c r="G427" i="15"/>
  <c r="F425" i="15"/>
  <c r="G424" i="15"/>
  <c r="F424" i="15"/>
  <c r="G423" i="15"/>
  <c r="F419" i="15"/>
  <c r="K418" i="15"/>
  <c r="I418" i="15"/>
  <c r="J418" i="15" s="1"/>
  <c r="J417" i="15"/>
  <c r="I417" i="15"/>
  <c r="K417" i="15" s="1"/>
  <c r="I416" i="15"/>
  <c r="I415" i="15"/>
  <c r="K414" i="15"/>
  <c r="I414" i="15"/>
  <c r="J414" i="15" s="1"/>
  <c r="F413" i="15"/>
  <c r="G412" i="15"/>
  <c r="F412" i="15"/>
  <c r="G411" i="15"/>
  <c r="F408" i="15"/>
  <c r="G407" i="15"/>
  <c r="F407" i="15"/>
  <c r="I406" i="15"/>
  <c r="K405" i="15"/>
  <c r="I405" i="15"/>
  <c r="J405" i="15" s="1"/>
  <c r="I404" i="15"/>
  <c r="K404" i="15" s="1"/>
  <c r="F402" i="15"/>
  <c r="G462" i="15"/>
  <c r="P462" i="15" s="1"/>
  <c r="Q462" i="15" s="1"/>
  <c r="R462" i="15" s="1"/>
  <c r="F463" i="15"/>
  <c r="I463" i="15" s="1"/>
  <c r="F181" i="15"/>
  <c r="B130" i="15"/>
  <c r="H129" i="15"/>
  <c r="B129" i="15" s="1"/>
  <c r="F175" i="15" s="1"/>
  <c r="C115" i="15"/>
  <c r="B70" i="15"/>
  <c r="F117" i="15" s="1"/>
  <c r="H69" i="15"/>
  <c r="B69" i="15" s="1"/>
  <c r="F54" i="15"/>
  <c r="E54" i="15"/>
  <c r="D54" i="15"/>
  <c r="E53" i="15"/>
  <c r="E52" i="15"/>
  <c r="E51" i="15"/>
  <c r="G48" i="15"/>
  <c r="E43" i="15"/>
  <c r="G30" i="15"/>
  <c r="G19" i="15"/>
  <c r="F50" i="15"/>
  <c r="G55" i="15"/>
  <c r="H7" i="15"/>
  <c r="C108" i="15" s="1"/>
  <c r="H6" i="15"/>
  <c r="F46" i="15" s="1"/>
  <c r="K30" i="15" l="1"/>
  <c r="N30" i="15"/>
  <c r="F80" i="15"/>
  <c r="F102" i="15"/>
  <c r="F121" i="15"/>
  <c r="M515" i="15"/>
  <c r="F76" i="15"/>
  <c r="F94" i="15"/>
  <c r="F160" i="15"/>
  <c r="L126" i="1"/>
  <c r="E115" i="15"/>
  <c r="E94" i="15"/>
  <c r="G94" i="15" s="1"/>
  <c r="E78" i="15"/>
  <c r="E76" i="15"/>
  <c r="E98" i="15"/>
  <c r="G98" i="15" s="1"/>
  <c r="H98" i="15" s="1"/>
  <c r="E81" i="15"/>
  <c r="E73" i="15"/>
  <c r="E88" i="15"/>
  <c r="E118" i="15"/>
  <c r="E113" i="15"/>
  <c r="E96" i="15"/>
  <c r="G96" i="15" s="1"/>
  <c r="H96" i="15" s="1"/>
  <c r="E72" i="15"/>
  <c r="M510" i="15"/>
  <c r="L510" i="15"/>
  <c r="G28" i="15"/>
  <c r="G40" i="15"/>
  <c r="D46" i="15"/>
  <c r="G60" i="15"/>
  <c r="F75" i="15"/>
  <c r="F81" i="15"/>
  <c r="F93" i="15"/>
  <c r="F100" i="15"/>
  <c r="G100" i="15" s="1"/>
  <c r="H100" i="15" s="1"/>
  <c r="F104" i="15"/>
  <c r="F108" i="15"/>
  <c r="G482" i="15"/>
  <c r="G532" i="15"/>
  <c r="C111" i="15"/>
  <c r="E111" i="15" s="1"/>
  <c r="D163" i="15"/>
  <c r="F163" i="15" s="1"/>
  <c r="G25" i="15"/>
  <c r="G32" i="15"/>
  <c r="G53" i="15"/>
  <c r="G59" i="15"/>
  <c r="F77" i="15"/>
  <c r="G77" i="15" s="1"/>
  <c r="F88" i="15"/>
  <c r="C103" i="15"/>
  <c r="E103" i="15" s="1"/>
  <c r="F112" i="15"/>
  <c r="D166" i="15"/>
  <c r="F166" i="15" s="1"/>
  <c r="E108" i="15"/>
  <c r="G108" i="15" s="1"/>
  <c r="D42" i="15"/>
  <c r="C107" i="15"/>
  <c r="E107" i="15" s="1"/>
  <c r="G14" i="15"/>
  <c r="D41" i="15"/>
  <c r="D47" i="15"/>
  <c r="G52" i="15"/>
  <c r="F72" i="15"/>
  <c r="F87" i="15"/>
  <c r="F97" i="15"/>
  <c r="G97" i="15" s="1"/>
  <c r="C101" i="15"/>
  <c r="F106" i="15"/>
  <c r="C109" i="15"/>
  <c r="E109" i="15" s="1"/>
  <c r="F113" i="15"/>
  <c r="F118" i="15"/>
  <c r="I451" i="15"/>
  <c r="M490" i="15"/>
  <c r="L490" i="15"/>
  <c r="J523" i="15"/>
  <c r="J436" i="15"/>
  <c r="M488" i="15"/>
  <c r="M489" i="15"/>
  <c r="I538" i="15"/>
  <c r="K482" i="15"/>
  <c r="K439" i="15"/>
  <c r="K537" i="15"/>
  <c r="M537" i="15" s="1"/>
  <c r="G529" i="15"/>
  <c r="K529" i="15" s="1"/>
  <c r="L529" i="15" s="1"/>
  <c r="M478" i="15"/>
  <c r="L478" i="15"/>
  <c r="G499" i="15"/>
  <c r="K499" i="15" s="1"/>
  <c r="M499" i="15" s="1"/>
  <c r="G527" i="15"/>
  <c r="K527" i="15" s="1"/>
  <c r="G535" i="15"/>
  <c r="G536" i="15"/>
  <c r="K536" i="15" s="1"/>
  <c r="M536" i="15" s="1"/>
  <c r="J404" i="15"/>
  <c r="J432" i="15"/>
  <c r="J437" i="15"/>
  <c r="G477" i="15"/>
  <c r="K477" i="15" s="1"/>
  <c r="M480" i="15"/>
  <c r="G486" i="15"/>
  <c r="G504" i="15"/>
  <c r="K504" i="15" s="1"/>
  <c r="G509" i="15"/>
  <c r="K509" i="15" s="1"/>
  <c r="G523" i="15"/>
  <c r="K523" i="15" s="1"/>
  <c r="M523" i="15" s="1"/>
  <c r="G524" i="15"/>
  <c r="K524" i="15" s="1"/>
  <c r="G531" i="15"/>
  <c r="K531" i="15" s="1"/>
  <c r="G507" i="15"/>
  <c r="K507" i="15" s="1"/>
  <c r="M507" i="15" s="1"/>
  <c r="G519" i="15"/>
  <c r="K519" i="15" s="1"/>
  <c r="L519" i="15" s="1"/>
  <c r="K440" i="15"/>
  <c r="G481" i="15"/>
  <c r="K481" i="15" s="1"/>
  <c r="G493" i="15"/>
  <c r="K493" i="15" s="1"/>
  <c r="M493" i="15" s="1"/>
  <c r="G497" i="15"/>
  <c r="K497" i="15" s="1"/>
  <c r="L497" i="15" s="1"/>
  <c r="M506" i="15"/>
  <c r="G517" i="15"/>
  <c r="K517" i="15" s="1"/>
  <c r="G520" i="15"/>
  <c r="K520" i="15" s="1"/>
  <c r="J535" i="15"/>
  <c r="M126" i="1"/>
  <c r="R25" i="2" s="1"/>
  <c r="M125" i="1"/>
  <c r="I51" i="1"/>
  <c r="I53" i="1"/>
  <c r="I52" i="1"/>
  <c r="I54" i="1"/>
  <c r="H252" i="1"/>
  <c r="H253" i="1"/>
  <c r="F43" i="15"/>
  <c r="F45" i="15"/>
  <c r="J44" i="15"/>
  <c r="F40" i="15"/>
  <c r="F41" i="15"/>
  <c r="I58" i="1"/>
  <c r="I59" i="1"/>
  <c r="I55" i="1"/>
  <c r="I60" i="1"/>
  <c r="I56" i="1"/>
  <c r="I57" i="1"/>
  <c r="G242" i="1"/>
  <c r="G246" i="1"/>
  <c r="G250" i="1"/>
  <c r="G204" i="1"/>
  <c r="G208" i="1"/>
  <c r="G212" i="1"/>
  <c r="G216" i="1"/>
  <c r="G220" i="1"/>
  <c r="G224" i="1"/>
  <c r="G228" i="1"/>
  <c r="G202" i="1"/>
  <c r="G245" i="1"/>
  <c r="G203" i="1"/>
  <c r="G215" i="1"/>
  <c r="I215" i="1" s="1"/>
  <c r="I20" i="16" s="1"/>
  <c r="G223" i="1"/>
  <c r="G244" i="1"/>
  <c r="G243" i="1"/>
  <c r="G247" i="1"/>
  <c r="G205" i="1"/>
  <c r="G209" i="1"/>
  <c r="G217" i="1"/>
  <c r="G221" i="1"/>
  <c r="G229" i="1"/>
  <c r="G251" i="1"/>
  <c r="I251" i="1" s="1"/>
  <c r="G249" i="1"/>
  <c r="G211" i="1"/>
  <c r="G227" i="1"/>
  <c r="G248" i="1"/>
  <c r="G206" i="1"/>
  <c r="G210" i="1"/>
  <c r="G218" i="1"/>
  <c r="G226" i="1"/>
  <c r="F202" i="1"/>
  <c r="F232" i="1"/>
  <c r="H232" i="1" s="1"/>
  <c r="F235" i="1"/>
  <c r="F227" i="1"/>
  <c r="H227" i="1" s="1"/>
  <c r="F219" i="1"/>
  <c r="F211" i="1"/>
  <c r="H211" i="1" s="1"/>
  <c r="F249" i="1"/>
  <c r="F239" i="1"/>
  <c r="H239" i="1" s="1"/>
  <c r="F231" i="1"/>
  <c r="H231" i="1" s="1"/>
  <c r="F223" i="1"/>
  <c r="H223" i="1" s="1"/>
  <c r="F207" i="1"/>
  <c r="H207" i="1" s="1"/>
  <c r="F242" i="1"/>
  <c r="F224" i="1"/>
  <c r="H224" i="1" s="1"/>
  <c r="F216" i="1"/>
  <c r="F208" i="1"/>
  <c r="H208" i="1" s="1"/>
  <c r="F250" i="1"/>
  <c r="F203" i="1"/>
  <c r="H203" i="1" s="1"/>
  <c r="F236" i="1"/>
  <c r="H236" i="1" s="1"/>
  <c r="F220" i="1"/>
  <c r="H220" i="1" s="1"/>
  <c r="F212" i="1"/>
  <c r="F204" i="1"/>
  <c r="F247" i="1"/>
  <c r="I247" i="1" s="1"/>
  <c r="F248" i="1"/>
  <c r="F237" i="1"/>
  <c r="H237" i="1" s="1"/>
  <c r="F233" i="1"/>
  <c r="H233" i="1" s="1"/>
  <c r="F221" i="1"/>
  <c r="H221" i="1" s="1"/>
  <c r="F217" i="1"/>
  <c r="H217" i="1" s="1"/>
  <c r="F213" i="1"/>
  <c r="H213" i="1" s="1"/>
  <c r="F209" i="1"/>
  <c r="H209" i="1" s="1"/>
  <c r="F205" i="1"/>
  <c r="H205" i="1" s="1"/>
  <c r="F241" i="1"/>
  <c r="F243" i="1"/>
  <c r="F245" i="1"/>
  <c r="F238" i="1"/>
  <c r="H238" i="1" s="1"/>
  <c r="F234" i="1"/>
  <c r="H234" i="1" s="1"/>
  <c r="F230" i="1"/>
  <c r="F226" i="1"/>
  <c r="H226" i="1" s="1"/>
  <c r="F222" i="1"/>
  <c r="H222" i="1" s="1"/>
  <c r="F218" i="1"/>
  <c r="H218" i="1" s="1"/>
  <c r="F214" i="1"/>
  <c r="H214" i="1" s="1"/>
  <c r="F210" i="1"/>
  <c r="H210" i="1" s="1"/>
  <c r="F206" i="1"/>
  <c r="H206" i="1" s="1"/>
  <c r="F244" i="1"/>
  <c r="F246" i="1"/>
  <c r="M30" i="15"/>
  <c r="L30" i="15"/>
  <c r="I108" i="15"/>
  <c r="H108" i="15"/>
  <c r="E181" i="15"/>
  <c r="G181" i="15" s="1"/>
  <c r="E177" i="15"/>
  <c r="E174" i="15"/>
  <c r="E169" i="15"/>
  <c r="E167" i="15"/>
  <c r="E164" i="15"/>
  <c r="E162" i="15"/>
  <c r="E160" i="15"/>
  <c r="G160" i="15" s="1"/>
  <c r="E153" i="15"/>
  <c r="E152" i="15"/>
  <c r="G152" i="15" s="1"/>
  <c r="E151" i="15"/>
  <c r="G151" i="15" s="1"/>
  <c r="E146" i="15"/>
  <c r="E144" i="15"/>
  <c r="G144" i="15" s="1"/>
  <c r="E143" i="15"/>
  <c r="G143" i="15" s="1"/>
  <c r="E139" i="15"/>
  <c r="E134" i="15"/>
  <c r="E180" i="15"/>
  <c r="E176" i="15"/>
  <c r="E173" i="15"/>
  <c r="E157" i="15"/>
  <c r="E150" i="15"/>
  <c r="E149" i="15"/>
  <c r="G149" i="15" s="1"/>
  <c r="S12" i="2" s="1"/>
  <c r="E142" i="15"/>
  <c r="E138" i="15"/>
  <c r="E137" i="15"/>
  <c r="G137" i="15" s="1"/>
  <c r="E133" i="15"/>
  <c r="E171" i="15"/>
  <c r="E165" i="15"/>
  <c r="G165" i="15" s="1"/>
  <c r="E175" i="15"/>
  <c r="G175" i="15" s="1"/>
  <c r="I12" i="2" s="1"/>
  <c r="E172" i="15"/>
  <c r="E166" i="15"/>
  <c r="G166" i="15" s="1"/>
  <c r="E163" i="15"/>
  <c r="G163" i="15" s="1"/>
  <c r="E132" i="15"/>
  <c r="K415" i="15"/>
  <c r="J415" i="15"/>
  <c r="K431" i="15"/>
  <c r="J431" i="15"/>
  <c r="J451" i="15"/>
  <c r="K451" i="15"/>
  <c r="M504" i="15"/>
  <c r="L504" i="15"/>
  <c r="M531" i="15"/>
  <c r="L531" i="15"/>
  <c r="F180" i="15"/>
  <c r="F176" i="15"/>
  <c r="F173" i="15"/>
  <c r="F159" i="15"/>
  <c r="G159" i="15" s="1"/>
  <c r="F158" i="15"/>
  <c r="G158" i="15" s="1"/>
  <c r="F157" i="15"/>
  <c r="F150" i="15"/>
  <c r="F145" i="15"/>
  <c r="G145" i="15" s="1"/>
  <c r="F142" i="15"/>
  <c r="F138" i="15"/>
  <c r="F133" i="15"/>
  <c r="F179" i="15"/>
  <c r="F172" i="15"/>
  <c r="F156" i="15"/>
  <c r="F148" i="15"/>
  <c r="F141" i="15"/>
  <c r="F136" i="15"/>
  <c r="F132" i="15"/>
  <c r="F177" i="15"/>
  <c r="F174" i="15"/>
  <c r="G174" i="15" s="1"/>
  <c r="G12" i="2" s="1"/>
  <c r="F153" i="15"/>
  <c r="F146" i="15"/>
  <c r="F139" i="15"/>
  <c r="F134" i="15"/>
  <c r="F178" i="15"/>
  <c r="F154" i="15"/>
  <c r="F147" i="15"/>
  <c r="F140" i="15"/>
  <c r="F135" i="15"/>
  <c r="K441" i="15"/>
  <c r="J441" i="15"/>
  <c r="M505" i="15"/>
  <c r="L505" i="15"/>
  <c r="M517" i="15"/>
  <c r="L517" i="15"/>
  <c r="D594" i="15"/>
  <c r="E594" i="15" s="1"/>
  <c r="F594" i="15" s="1"/>
  <c r="D590" i="15"/>
  <c r="E590" i="15" s="1"/>
  <c r="F590" i="15" s="1"/>
  <c r="D586" i="15"/>
  <c r="E586" i="15" s="1"/>
  <c r="F586" i="15" s="1"/>
  <c r="D582" i="15"/>
  <c r="E582" i="15" s="1"/>
  <c r="F582" i="15" s="1"/>
  <c r="D578" i="15"/>
  <c r="E578" i="15" s="1"/>
  <c r="F578" i="15" s="1"/>
  <c r="D574" i="15"/>
  <c r="E574" i="15" s="1"/>
  <c r="F574" i="15" s="1"/>
  <c r="D570" i="15"/>
  <c r="E570" i="15" s="1"/>
  <c r="F570" i="15" s="1"/>
  <c r="D566" i="15"/>
  <c r="E566" i="15" s="1"/>
  <c r="F566" i="15" s="1"/>
  <c r="D562" i="15"/>
  <c r="E562" i="15" s="1"/>
  <c r="F562" i="15" s="1"/>
  <c r="D558" i="15"/>
  <c r="E558" i="15" s="1"/>
  <c r="F558" i="15" s="1"/>
  <c r="D554" i="15"/>
  <c r="E554" i="15" s="1"/>
  <c r="F554" i="15" s="1"/>
  <c r="D595" i="15"/>
  <c r="E595" i="15" s="1"/>
  <c r="F595" i="15" s="1"/>
  <c r="D591" i="15"/>
  <c r="E591" i="15" s="1"/>
  <c r="F591" i="15" s="1"/>
  <c r="D587" i="15"/>
  <c r="E587" i="15" s="1"/>
  <c r="F587" i="15" s="1"/>
  <c r="D583" i="15"/>
  <c r="E583" i="15" s="1"/>
  <c r="F583" i="15" s="1"/>
  <c r="D579" i="15"/>
  <c r="E579" i="15" s="1"/>
  <c r="F579" i="15" s="1"/>
  <c r="D575" i="15"/>
  <c r="E575" i="15" s="1"/>
  <c r="F575" i="15" s="1"/>
  <c r="D571" i="15"/>
  <c r="E571" i="15" s="1"/>
  <c r="F571" i="15" s="1"/>
  <c r="D567" i="15"/>
  <c r="E567" i="15" s="1"/>
  <c r="F567" i="15" s="1"/>
  <c r="D563" i="15"/>
  <c r="E563" i="15" s="1"/>
  <c r="F563" i="15" s="1"/>
  <c r="D559" i="15"/>
  <c r="E559" i="15" s="1"/>
  <c r="F559" i="15" s="1"/>
  <c r="D555" i="15"/>
  <c r="E555" i="15" s="1"/>
  <c r="F555" i="15" s="1"/>
  <c r="D593" i="15"/>
  <c r="D585" i="15"/>
  <c r="E585" i="15" s="1"/>
  <c r="F585" i="15" s="1"/>
  <c r="D577" i="15"/>
  <c r="E577" i="15" s="1"/>
  <c r="F577" i="15" s="1"/>
  <c r="D569" i="15"/>
  <c r="E569" i="15" s="1"/>
  <c r="F569" i="15" s="1"/>
  <c r="D561" i="15"/>
  <c r="E561" i="15" s="1"/>
  <c r="F561" i="15" s="1"/>
  <c r="D553" i="15"/>
  <c r="E553" i="15" s="1"/>
  <c r="F553" i="15" s="1"/>
  <c r="D592" i="15"/>
  <c r="E592" i="15" s="1"/>
  <c r="F592" i="15" s="1"/>
  <c r="D576" i="15"/>
  <c r="E576" i="15" s="1"/>
  <c r="F576" i="15" s="1"/>
  <c r="D568" i="15"/>
  <c r="E568" i="15" s="1"/>
  <c r="F568" i="15" s="1"/>
  <c r="D560" i="15"/>
  <c r="E560" i="15" s="1"/>
  <c r="F560" i="15" s="1"/>
  <c r="D552" i="15"/>
  <c r="D588" i="15"/>
  <c r="E588" i="15" s="1"/>
  <c r="F588" i="15" s="1"/>
  <c r="D580" i="15"/>
  <c r="E580" i="15" s="1"/>
  <c r="F580" i="15" s="1"/>
  <c r="D572" i="15"/>
  <c r="E572" i="15" s="1"/>
  <c r="F572" i="15" s="1"/>
  <c r="D564" i="15"/>
  <c r="E564" i="15" s="1"/>
  <c r="F564" i="15" s="1"/>
  <c r="D556" i="15"/>
  <c r="E556" i="15" s="1"/>
  <c r="F556" i="15" s="1"/>
  <c r="J26" i="15"/>
  <c r="E121" i="15"/>
  <c r="G121" i="15" s="1"/>
  <c r="E117" i="15"/>
  <c r="G117" i="15" s="1"/>
  <c r="O9" i="2" s="1"/>
  <c r="E120" i="15"/>
  <c r="E116" i="15"/>
  <c r="E119" i="15"/>
  <c r="E112" i="15"/>
  <c r="G112" i="15" s="1"/>
  <c r="E93" i="15"/>
  <c r="G93" i="15" s="1"/>
  <c r="E87" i="15"/>
  <c r="G87" i="15" s="1"/>
  <c r="E80" i="15"/>
  <c r="G80" i="15" s="1"/>
  <c r="E75" i="15"/>
  <c r="E90" i="15"/>
  <c r="E86" i="15"/>
  <c r="E85" i="15"/>
  <c r="G85" i="15" s="1"/>
  <c r="E79" i="15"/>
  <c r="E74" i="15"/>
  <c r="M482" i="15"/>
  <c r="L482" i="15"/>
  <c r="L492" i="15"/>
  <c r="M492" i="15"/>
  <c r="L496" i="15"/>
  <c r="M496" i="15"/>
  <c r="M524" i="15"/>
  <c r="L524" i="15"/>
  <c r="M527" i="15"/>
  <c r="L527" i="15"/>
  <c r="G538" i="15"/>
  <c r="E178" i="15"/>
  <c r="G81" i="15"/>
  <c r="E141" i="15"/>
  <c r="E148" i="15"/>
  <c r="E156" i="15"/>
  <c r="G156" i="15" s="1"/>
  <c r="E168" i="15"/>
  <c r="K532" i="15"/>
  <c r="D573" i="15"/>
  <c r="E573" i="15" s="1"/>
  <c r="F573" i="15" s="1"/>
  <c r="B6" i="15"/>
  <c r="I27" i="15" s="1"/>
  <c r="G15" i="15"/>
  <c r="G20" i="15"/>
  <c r="G31" i="15"/>
  <c r="G39" i="15"/>
  <c r="G43" i="15"/>
  <c r="G45" i="15"/>
  <c r="G51" i="15"/>
  <c r="I52" i="15"/>
  <c r="E82" i="15"/>
  <c r="E89" i="15"/>
  <c r="E99" i="15"/>
  <c r="G99" i="15" s="1"/>
  <c r="E101" i="15"/>
  <c r="E105" i="15"/>
  <c r="E114" i="15"/>
  <c r="G114" i="15" s="1"/>
  <c r="E140" i="15"/>
  <c r="E147" i="15"/>
  <c r="G147" i="15" s="1"/>
  <c r="E154" i="15"/>
  <c r="G154" i="15" s="1"/>
  <c r="I424" i="15"/>
  <c r="I443" i="15"/>
  <c r="I460" i="15"/>
  <c r="L507" i="15"/>
  <c r="K535" i="15"/>
  <c r="D581" i="15"/>
  <c r="E581" i="15" s="1"/>
  <c r="F581" i="15" s="1"/>
  <c r="K463" i="15"/>
  <c r="J463" i="15"/>
  <c r="G57" i="15"/>
  <c r="G47" i="15"/>
  <c r="G42" i="15"/>
  <c r="G33" i="15"/>
  <c r="G26" i="15"/>
  <c r="G21" i="15"/>
  <c r="G17" i="15"/>
  <c r="G16" i="15"/>
  <c r="G12" i="15"/>
  <c r="G58" i="15"/>
  <c r="G54" i="15"/>
  <c r="G46" i="15"/>
  <c r="G41" i="15"/>
  <c r="G35" i="15"/>
  <c r="G27" i="15"/>
  <c r="G23" i="15"/>
  <c r="G22" i="15"/>
  <c r="G18" i="15"/>
  <c r="G13" i="15"/>
  <c r="K416" i="15"/>
  <c r="J416" i="15"/>
  <c r="L499" i="15"/>
  <c r="M502" i="15"/>
  <c r="L502" i="15"/>
  <c r="L512" i="15"/>
  <c r="M512" i="15"/>
  <c r="I43" i="15"/>
  <c r="N43" i="15" s="1"/>
  <c r="E135" i="15"/>
  <c r="I53" i="15"/>
  <c r="G76" i="15"/>
  <c r="G88" i="15"/>
  <c r="G29" i="15"/>
  <c r="G36" i="15"/>
  <c r="G44" i="15"/>
  <c r="G50" i="15"/>
  <c r="G56" i="15"/>
  <c r="I98" i="15"/>
  <c r="I100" i="15"/>
  <c r="E136" i="15"/>
  <c r="E161" i="15"/>
  <c r="E179" i="15"/>
  <c r="D557" i="15"/>
  <c r="E557" i="15" s="1"/>
  <c r="F557" i="15" s="1"/>
  <c r="D589" i="15"/>
  <c r="E589" i="15" s="1"/>
  <c r="F589" i="15" s="1"/>
  <c r="M495" i="15"/>
  <c r="L495" i="15"/>
  <c r="K406" i="15"/>
  <c r="J406" i="15"/>
  <c r="M479" i="15"/>
  <c r="L479" i="15"/>
  <c r="M516" i="15"/>
  <c r="L516" i="15"/>
  <c r="B7" i="15"/>
  <c r="H41" i="15" s="1"/>
  <c r="F42" i="15"/>
  <c r="D43" i="15"/>
  <c r="H43" i="15" s="1"/>
  <c r="F47" i="15"/>
  <c r="D48" i="15"/>
  <c r="H48" i="15" s="1"/>
  <c r="D50" i="15"/>
  <c r="F73" i="15"/>
  <c r="F78" i="15"/>
  <c r="G78" i="15" s="1"/>
  <c r="F82" i="15"/>
  <c r="F83" i="15"/>
  <c r="G83" i="15" s="1"/>
  <c r="F84" i="15"/>
  <c r="G84" i="15" s="1"/>
  <c r="F89" i="15"/>
  <c r="F105" i="15"/>
  <c r="C106" i="15"/>
  <c r="E106" i="15" s="1"/>
  <c r="G106" i="15" s="1"/>
  <c r="F107" i="15"/>
  <c r="G107" i="15" s="1"/>
  <c r="F109" i="15"/>
  <c r="G109" i="15" s="1"/>
  <c r="F114" i="15"/>
  <c r="I430" i="15"/>
  <c r="I447" i="15"/>
  <c r="I456" i="15"/>
  <c r="L484" i="15"/>
  <c r="L513" i="15"/>
  <c r="J519" i="15"/>
  <c r="J529" i="15"/>
  <c r="H538" i="15"/>
  <c r="M491" i="15"/>
  <c r="L491" i="15"/>
  <c r="M508" i="15"/>
  <c r="L508" i="15"/>
  <c r="M511" i="15"/>
  <c r="L511" i="15"/>
  <c r="D171" i="15"/>
  <c r="F171" i="15" s="1"/>
  <c r="D169" i="15"/>
  <c r="F169" i="15" s="1"/>
  <c r="D167" i="15"/>
  <c r="F167" i="15" s="1"/>
  <c r="D164" i="15"/>
  <c r="F164" i="15" s="1"/>
  <c r="D162" i="15"/>
  <c r="F162" i="15" s="1"/>
  <c r="F120" i="15"/>
  <c r="F116" i="15"/>
  <c r="F119" i="15"/>
  <c r="F115" i="15"/>
  <c r="K442" i="15"/>
  <c r="J442" i="15"/>
  <c r="J536" i="15"/>
  <c r="J532" i="15"/>
  <c r="J527" i="15"/>
  <c r="J524" i="15"/>
  <c r="J520" i="15"/>
  <c r="J517" i="15"/>
  <c r="J537" i="15"/>
  <c r="J533" i="15"/>
  <c r="J530" i="15"/>
  <c r="J528" i="15"/>
  <c r="J521" i="15"/>
  <c r="J500" i="15"/>
  <c r="D40" i="15"/>
  <c r="H40" i="15" s="1"/>
  <c r="D45" i="15"/>
  <c r="F48" i="15"/>
  <c r="F74" i="15"/>
  <c r="F79" i="15"/>
  <c r="F86" i="15"/>
  <c r="F90" i="15"/>
  <c r="F91" i="15"/>
  <c r="G91" i="15" s="1"/>
  <c r="F92" i="15"/>
  <c r="G92" i="15" s="1"/>
  <c r="F101" i="15"/>
  <c r="C102" i="15"/>
  <c r="E102" i="15" s="1"/>
  <c r="G102" i="15" s="1"/>
  <c r="F103" i="15"/>
  <c r="G103" i="15" s="1"/>
  <c r="C104" i="15"/>
  <c r="E104" i="15" s="1"/>
  <c r="F111" i="15"/>
  <c r="D161" i="15"/>
  <c r="F161" i="15" s="1"/>
  <c r="D168" i="15"/>
  <c r="F168" i="15" s="1"/>
  <c r="I407" i="15"/>
  <c r="I412" i="15"/>
  <c r="K486" i="15"/>
  <c r="J522" i="15"/>
  <c r="J534" i="15"/>
  <c r="I539" i="15"/>
  <c r="G402" i="15"/>
  <c r="I402" i="15" s="1"/>
  <c r="F403" i="15"/>
  <c r="G408" i="15"/>
  <c r="I408" i="15" s="1"/>
  <c r="F409" i="15"/>
  <c r="G413" i="15"/>
  <c r="I413" i="15" s="1"/>
  <c r="G419" i="15"/>
  <c r="I419" i="15" s="1"/>
  <c r="F420" i="15"/>
  <c r="G425" i="15"/>
  <c r="I425" i="15" s="1"/>
  <c r="F426" i="15"/>
  <c r="G438" i="15"/>
  <c r="I438" i="15" s="1"/>
  <c r="G444" i="15"/>
  <c r="I444" i="15" s="1"/>
  <c r="F445" i="15"/>
  <c r="G448" i="15"/>
  <c r="I448" i="15" s="1"/>
  <c r="F449" i="15"/>
  <c r="G453" i="15"/>
  <c r="P453" i="15" s="1"/>
  <c r="Q453" i="15" s="1"/>
  <c r="R453" i="15" s="1"/>
  <c r="F454" i="15"/>
  <c r="G457" i="15"/>
  <c r="P457" i="15" s="1"/>
  <c r="Q457" i="15" s="1"/>
  <c r="R457" i="15" s="1"/>
  <c r="F458" i="15"/>
  <c r="G461" i="15"/>
  <c r="I461" i="15" s="1"/>
  <c r="F462" i="15"/>
  <c r="I462" i="15" s="1"/>
  <c r="G476" i="15"/>
  <c r="K476" i="15" s="1"/>
  <c r="G485" i="15"/>
  <c r="K485" i="15" s="1"/>
  <c r="G487" i="15"/>
  <c r="K487" i="15" s="1"/>
  <c r="G501" i="15"/>
  <c r="K501" i="15" s="1"/>
  <c r="G514" i="15"/>
  <c r="K514" i="15" s="1"/>
  <c r="G522" i="15"/>
  <c r="K522" i="15" s="1"/>
  <c r="G534" i="15"/>
  <c r="K534" i="15" s="1"/>
  <c r="H539" i="15"/>
  <c r="G403" i="15"/>
  <c r="G409" i="15"/>
  <c r="G410" i="15"/>
  <c r="I410" i="15" s="1"/>
  <c r="F411" i="15"/>
  <c r="I411" i="15" s="1"/>
  <c r="G420" i="15"/>
  <c r="G421" i="15"/>
  <c r="I421" i="15" s="1"/>
  <c r="G422" i="15"/>
  <c r="I422" i="15" s="1"/>
  <c r="F423" i="15"/>
  <c r="I423" i="15" s="1"/>
  <c r="G426" i="15"/>
  <c r="F427" i="15"/>
  <c r="I427" i="15" s="1"/>
  <c r="F429" i="15"/>
  <c r="I429" i="15" s="1"/>
  <c r="F433" i="15"/>
  <c r="I433" i="15" s="1"/>
  <c r="F435" i="15"/>
  <c r="I435" i="15" s="1"/>
  <c r="G445" i="15"/>
  <c r="F446" i="15"/>
  <c r="I446" i="15" s="1"/>
  <c r="G449" i="15"/>
  <c r="F450" i="15"/>
  <c r="I450" i="15" s="1"/>
  <c r="G454" i="15"/>
  <c r="P454" i="15" s="1"/>
  <c r="Q454" i="15" s="1"/>
  <c r="R454" i="15" s="1"/>
  <c r="F455" i="15"/>
  <c r="I455" i="15" s="1"/>
  <c r="G458" i="15"/>
  <c r="P458" i="15" s="1"/>
  <c r="Q458" i="15" s="1"/>
  <c r="R458" i="15" s="1"/>
  <c r="F459" i="15"/>
  <c r="I459" i="15" s="1"/>
  <c r="G483" i="15"/>
  <c r="K483" i="15" s="1"/>
  <c r="G494" i="15"/>
  <c r="K494" i="15" s="1"/>
  <c r="G498" i="15"/>
  <c r="K498" i="15" s="1"/>
  <c r="G500" i="15"/>
  <c r="K500" i="15" s="1"/>
  <c r="G503" i="15"/>
  <c r="K503" i="15" s="1"/>
  <c r="G518" i="15"/>
  <c r="K518" i="15" s="1"/>
  <c r="G521" i="15"/>
  <c r="K521" i="15" s="1"/>
  <c r="G525" i="15"/>
  <c r="K525" i="15" s="1"/>
  <c r="G528" i="15"/>
  <c r="K528" i="15" s="1"/>
  <c r="L528" i="15" s="1"/>
  <c r="G530" i="15"/>
  <c r="K530" i="15" s="1"/>
  <c r="L530" i="15" s="1"/>
  <c r="G533" i="15"/>
  <c r="K533" i="15" s="1"/>
  <c r="H45" i="15" l="1"/>
  <c r="H50" i="15"/>
  <c r="I51" i="15"/>
  <c r="K23" i="15"/>
  <c r="N23" i="15"/>
  <c r="K16" i="15"/>
  <c r="N16" i="15"/>
  <c r="K31" i="15"/>
  <c r="N31" i="15"/>
  <c r="G138" i="15"/>
  <c r="G157" i="15"/>
  <c r="G146" i="15"/>
  <c r="K22" i="15"/>
  <c r="N22" i="15"/>
  <c r="G49" i="15"/>
  <c r="N27" i="15"/>
  <c r="F253" i="1"/>
  <c r="F252" i="1"/>
  <c r="H202" i="1"/>
  <c r="F240" i="1"/>
  <c r="K28" i="15"/>
  <c r="N28" i="15"/>
  <c r="G73" i="15"/>
  <c r="L28" i="15"/>
  <c r="S8" i="2"/>
  <c r="M28" i="15"/>
  <c r="T8" i="2" s="1"/>
  <c r="H77" i="15"/>
  <c r="I77" i="15"/>
  <c r="I454" i="15"/>
  <c r="J454" i="15" s="1"/>
  <c r="I409" i="15"/>
  <c r="I96" i="15"/>
  <c r="G105" i="15"/>
  <c r="G82" i="15"/>
  <c r="I82" i="15" s="1"/>
  <c r="G168" i="15"/>
  <c r="G133" i="15"/>
  <c r="G176" i="15"/>
  <c r="G164" i="15"/>
  <c r="I164" i="15" s="1"/>
  <c r="G177" i="15"/>
  <c r="O12" i="2" s="1"/>
  <c r="F110" i="15"/>
  <c r="G118" i="15"/>
  <c r="M9" i="2" s="1"/>
  <c r="G115" i="15"/>
  <c r="I9" i="2" s="1"/>
  <c r="G113" i="15"/>
  <c r="H113" i="15" s="1"/>
  <c r="H94" i="15"/>
  <c r="I94" i="15"/>
  <c r="I445" i="15"/>
  <c r="G161" i="15"/>
  <c r="G89" i="15"/>
  <c r="S9" i="2" s="1"/>
  <c r="G75" i="15"/>
  <c r="G173" i="15"/>
  <c r="E12" i="2" s="1"/>
  <c r="H97" i="15"/>
  <c r="I97" i="15"/>
  <c r="G132" i="15"/>
  <c r="E170" i="15"/>
  <c r="G72" i="15"/>
  <c r="E110" i="15"/>
  <c r="G110" i="15" s="1"/>
  <c r="G104" i="15"/>
  <c r="J539" i="15"/>
  <c r="G116" i="15"/>
  <c r="K9" i="2" s="1"/>
  <c r="F170" i="15"/>
  <c r="G150" i="15"/>
  <c r="G180" i="15"/>
  <c r="I180" i="15" s="1"/>
  <c r="G153" i="15"/>
  <c r="G167" i="15"/>
  <c r="M519" i="15"/>
  <c r="L493" i="15"/>
  <c r="L537" i="15"/>
  <c r="M497" i="15"/>
  <c r="L523" i="15"/>
  <c r="L509" i="15"/>
  <c r="M509" i="15"/>
  <c r="L481" i="15"/>
  <c r="M481" i="15"/>
  <c r="L536" i="15"/>
  <c r="G539" i="15"/>
  <c r="I246" i="1"/>
  <c r="J246" i="1" s="1"/>
  <c r="I243" i="1"/>
  <c r="J243" i="1" s="1"/>
  <c r="I242" i="1"/>
  <c r="C27" i="2" s="1"/>
  <c r="I244" i="1"/>
  <c r="K244" i="1" s="1"/>
  <c r="H27" i="2" s="1"/>
  <c r="I248" i="1"/>
  <c r="K248" i="1" s="1"/>
  <c r="I249" i="1"/>
  <c r="K249" i="1" s="1"/>
  <c r="K251" i="1"/>
  <c r="J251" i="1"/>
  <c r="H241" i="1"/>
  <c r="O27" i="2"/>
  <c r="K247" i="1"/>
  <c r="P27" i="2" s="1"/>
  <c r="J247" i="1"/>
  <c r="I250" i="1"/>
  <c r="I245" i="1"/>
  <c r="J11" i="15"/>
  <c r="J46" i="15"/>
  <c r="J20" i="15"/>
  <c r="J56" i="15"/>
  <c r="J36" i="15"/>
  <c r="I204" i="1"/>
  <c r="H204" i="1"/>
  <c r="I62" i="1"/>
  <c r="I61" i="1"/>
  <c r="I216" i="1"/>
  <c r="H216" i="1"/>
  <c r="I235" i="1"/>
  <c r="H235" i="1"/>
  <c r="I230" i="1"/>
  <c r="H230" i="1"/>
  <c r="I212" i="1"/>
  <c r="H212" i="1"/>
  <c r="I219" i="1"/>
  <c r="I24" i="16" s="1"/>
  <c r="H219" i="1"/>
  <c r="I226" i="1"/>
  <c r="I209" i="1"/>
  <c r="I220" i="1"/>
  <c r="I202" i="1"/>
  <c r="I7" i="16" s="1"/>
  <c r="I222" i="1"/>
  <c r="I205" i="1"/>
  <c r="I221" i="1"/>
  <c r="I223" i="1"/>
  <c r="I211" i="1"/>
  <c r="J14" i="15"/>
  <c r="J27" i="15"/>
  <c r="J55" i="15"/>
  <c r="J38" i="15"/>
  <c r="J19" i="15"/>
  <c r="J59" i="15"/>
  <c r="J18" i="15"/>
  <c r="J54" i="15"/>
  <c r="J35" i="15"/>
  <c r="J13" i="15"/>
  <c r="J47" i="15"/>
  <c r="J15" i="15"/>
  <c r="J57" i="15"/>
  <c r="J43" i="15"/>
  <c r="J58" i="15"/>
  <c r="J29" i="15"/>
  <c r="J17" i="15"/>
  <c r="J37" i="15"/>
  <c r="J32" i="15"/>
  <c r="J52" i="15"/>
  <c r="J41" i="15"/>
  <c r="J50" i="15"/>
  <c r="J24" i="15"/>
  <c r="J21" i="15"/>
  <c r="J39" i="15"/>
  <c r="J40" i="15"/>
  <c r="J48" i="15"/>
  <c r="J42" i="15"/>
  <c r="J12" i="15"/>
  <c r="J33" i="15"/>
  <c r="J25" i="15"/>
  <c r="J51" i="15"/>
  <c r="J60" i="15"/>
  <c r="J45" i="15"/>
  <c r="I210" i="1"/>
  <c r="I203" i="1"/>
  <c r="I224" i="1"/>
  <c r="I213" i="1"/>
  <c r="I229" i="1"/>
  <c r="I208" i="1"/>
  <c r="J215" i="1"/>
  <c r="J20" i="16" s="1"/>
  <c r="K215" i="1"/>
  <c r="G253" i="1"/>
  <c r="G252" i="1"/>
  <c r="I214" i="1"/>
  <c r="I19" i="16" s="1"/>
  <c r="I206" i="1"/>
  <c r="I11" i="16" s="1"/>
  <c r="I218" i="1"/>
  <c r="I23" i="16" s="1"/>
  <c r="I217" i="1"/>
  <c r="I22" i="16" s="1"/>
  <c r="I228" i="1"/>
  <c r="I33" i="16" s="1"/>
  <c r="I207" i="1"/>
  <c r="I12" i="16" s="1"/>
  <c r="I227" i="1"/>
  <c r="I32" i="16" s="1"/>
  <c r="I465" i="15"/>
  <c r="I464" i="15"/>
  <c r="K461" i="15"/>
  <c r="J461" i="15"/>
  <c r="J444" i="15"/>
  <c r="K444" i="15"/>
  <c r="H115" i="15"/>
  <c r="J425" i="15"/>
  <c r="K425" i="15"/>
  <c r="J413" i="15"/>
  <c r="K413" i="15"/>
  <c r="K402" i="15"/>
  <c r="J402" i="15"/>
  <c r="I103" i="15"/>
  <c r="H103" i="15"/>
  <c r="H107" i="15"/>
  <c r="I107" i="15"/>
  <c r="L521" i="15"/>
  <c r="M521" i="15"/>
  <c r="K433" i="15"/>
  <c r="J433" i="15"/>
  <c r="K411" i="15"/>
  <c r="J411" i="15"/>
  <c r="K462" i="15"/>
  <c r="J462" i="15"/>
  <c r="K445" i="15"/>
  <c r="J445" i="15"/>
  <c r="K409" i="15"/>
  <c r="J409" i="15"/>
  <c r="J412" i="15"/>
  <c r="K412" i="15"/>
  <c r="J456" i="15"/>
  <c r="K456" i="15"/>
  <c r="I106" i="15"/>
  <c r="H106" i="15"/>
  <c r="I161" i="15"/>
  <c r="H161" i="15"/>
  <c r="K448" i="15"/>
  <c r="J448" i="15"/>
  <c r="H73" i="15"/>
  <c r="I73" i="15"/>
  <c r="H147" i="15"/>
  <c r="I147" i="15"/>
  <c r="M532" i="15"/>
  <c r="L532" i="15"/>
  <c r="H118" i="15"/>
  <c r="I118" i="15"/>
  <c r="N9" i="2" s="1"/>
  <c r="I116" i="15"/>
  <c r="L9" i="2" s="1"/>
  <c r="H116" i="15"/>
  <c r="I174" i="15"/>
  <c r="H12" i="2" s="1"/>
  <c r="H174" i="15"/>
  <c r="F183" i="15"/>
  <c r="F182" i="15"/>
  <c r="I145" i="15"/>
  <c r="H145" i="15"/>
  <c r="I159" i="15"/>
  <c r="H159" i="15"/>
  <c r="H132" i="15"/>
  <c r="I132" i="15"/>
  <c r="H175" i="15"/>
  <c r="I175" i="15"/>
  <c r="J12" i="2" s="1"/>
  <c r="H137" i="15"/>
  <c r="I137" i="15"/>
  <c r="I150" i="15"/>
  <c r="H150" i="15"/>
  <c r="H180" i="15"/>
  <c r="I144" i="15"/>
  <c r="H144" i="15"/>
  <c r="I153" i="15"/>
  <c r="H153" i="15"/>
  <c r="I167" i="15"/>
  <c r="H167" i="15"/>
  <c r="I181" i="15"/>
  <c r="H181" i="15"/>
  <c r="L525" i="15"/>
  <c r="M525" i="15"/>
  <c r="K459" i="15"/>
  <c r="J459" i="15"/>
  <c r="K435" i="15"/>
  <c r="J435" i="15"/>
  <c r="M514" i="15"/>
  <c r="L514" i="15"/>
  <c r="H102" i="15"/>
  <c r="I102" i="15"/>
  <c r="H84" i="15"/>
  <c r="I84" i="15"/>
  <c r="G179" i="15"/>
  <c r="E182" i="15"/>
  <c r="E183" i="15"/>
  <c r="M23" i="15"/>
  <c r="L23" i="15"/>
  <c r="M16" i="15"/>
  <c r="L16" i="15"/>
  <c r="H154" i="15"/>
  <c r="I154" i="15"/>
  <c r="H89" i="15"/>
  <c r="I89" i="15"/>
  <c r="T9" i="2" s="1"/>
  <c r="I80" i="15"/>
  <c r="H80" i="15"/>
  <c r="I121" i="15"/>
  <c r="H121" i="15"/>
  <c r="I158" i="15"/>
  <c r="H158" i="15"/>
  <c r="I133" i="15"/>
  <c r="H133" i="15"/>
  <c r="H149" i="15"/>
  <c r="I149" i="15"/>
  <c r="T12" i="2" s="1"/>
  <c r="H176" i="15"/>
  <c r="I143" i="15"/>
  <c r="H143" i="15"/>
  <c r="I152" i="15"/>
  <c r="H152" i="15"/>
  <c r="H164" i="15"/>
  <c r="I177" i="15"/>
  <c r="P12" i="2" s="1"/>
  <c r="H177" i="15"/>
  <c r="I109" i="15"/>
  <c r="H109" i="15"/>
  <c r="L503" i="15"/>
  <c r="M503" i="15"/>
  <c r="L483" i="15"/>
  <c r="M483" i="15"/>
  <c r="K427" i="15"/>
  <c r="J427" i="15"/>
  <c r="K421" i="15"/>
  <c r="J421" i="15"/>
  <c r="L522" i="15"/>
  <c r="M522" i="15"/>
  <c r="M485" i="15"/>
  <c r="L485" i="15"/>
  <c r="J438" i="15"/>
  <c r="K438" i="15"/>
  <c r="I91" i="15"/>
  <c r="H91" i="15"/>
  <c r="J430" i="15"/>
  <c r="K430" i="15"/>
  <c r="H76" i="15"/>
  <c r="I76" i="15"/>
  <c r="M22" i="15"/>
  <c r="L22" i="15"/>
  <c r="M535" i="15"/>
  <c r="K538" i="15"/>
  <c r="L535" i="15"/>
  <c r="K539" i="15"/>
  <c r="J424" i="15"/>
  <c r="K424" i="15"/>
  <c r="I114" i="15"/>
  <c r="H114" i="15"/>
  <c r="H99" i="15"/>
  <c r="I99" i="15"/>
  <c r="I59" i="15"/>
  <c r="I55" i="15"/>
  <c r="I45" i="15"/>
  <c r="N45" i="15" s="1"/>
  <c r="I40" i="15"/>
  <c r="N40" i="15" s="1"/>
  <c r="I38" i="15"/>
  <c r="N38" i="15" s="1"/>
  <c r="I36" i="15"/>
  <c r="N36" i="15" s="1"/>
  <c r="I29" i="15"/>
  <c r="N29" i="15" s="1"/>
  <c r="I24" i="15"/>
  <c r="N24" i="15" s="1"/>
  <c r="I19" i="15"/>
  <c r="N19" i="15" s="1"/>
  <c r="I14" i="15"/>
  <c r="N14" i="15" s="1"/>
  <c r="I60" i="15"/>
  <c r="I56" i="15"/>
  <c r="I50" i="15"/>
  <c r="I48" i="15"/>
  <c r="N48" i="15" s="1"/>
  <c r="I44" i="15"/>
  <c r="N44" i="15" s="1"/>
  <c r="I39" i="15"/>
  <c r="N39" i="15" s="1"/>
  <c r="I34" i="15"/>
  <c r="I32" i="15"/>
  <c r="N32" i="15" s="1"/>
  <c r="I25" i="15"/>
  <c r="N25" i="15" s="1"/>
  <c r="I20" i="15"/>
  <c r="N20" i="15" s="1"/>
  <c r="I15" i="15"/>
  <c r="N15" i="15" s="1"/>
  <c r="I58" i="15"/>
  <c r="I42" i="15"/>
  <c r="N42" i="15" s="1"/>
  <c r="I37" i="15"/>
  <c r="N37" i="15" s="1"/>
  <c r="I33" i="15"/>
  <c r="N33" i="15" s="1"/>
  <c r="I26" i="15"/>
  <c r="N26" i="15" s="1"/>
  <c r="I17" i="15"/>
  <c r="N17" i="15" s="1"/>
  <c r="I12" i="15"/>
  <c r="N12" i="15" s="1"/>
  <c r="I11" i="15"/>
  <c r="I41" i="15"/>
  <c r="N41" i="15" s="1"/>
  <c r="I18" i="15"/>
  <c r="N18" i="15" s="1"/>
  <c r="I57" i="15"/>
  <c r="I35" i="15"/>
  <c r="N35" i="15" s="1"/>
  <c r="I54" i="15"/>
  <c r="I46" i="15"/>
  <c r="N46" i="15" s="1"/>
  <c r="I21" i="15"/>
  <c r="N21" i="15" s="1"/>
  <c r="I47" i="15"/>
  <c r="N47" i="15" s="1"/>
  <c r="I13" i="15"/>
  <c r="N13" i="15" s="1"/>
  <c r="I75" i="15"/>
  <c r="H75" i="15"/>
  <c r="I112" i="15"/>
  <c r="H112" i="15"/>
  <c r="I117" i="15"/>
  <c r="P9" i="2" s="1"/>
  <c r="H117" i="15"/>
  <c r="E593" i="15"/>
  <c r="D596" i="15"/>
  <c r="D597" i="15"/>
  <c r="H166" i="15"/>
  <c r="I166" i="15"/>
  <c r="I151" i="15"/>
  <c r="H151" i="15"/>
  <c r="K50" i="15"/>
  <c r="F464" i="15"/>
  <c r="M463" i="15"/>
  <c r="G86" i="15"/>
  <c r="G172" i="15"/>
  <c r="C12" i="2" s="1"/>
  <c r="I458" i="15"/>
  <c r="I449" i="15"/>
  <c r="I403" i="15"/>
  <c r="J538" i="15"/>
  <c r="G135" i="15"/>
  <c r="I453" i="15"/>
  <c r="G148" i="15"/>
  <c r="G178" i="15"/>
  <c r="M12" i="2" s="1"/>
  <c r="G79" i="15"/>
  <c r="G171" i="15"/>
  <c r="G142" i="15"/>
  <c r="G139" i="15"/>
  <c r="G162" i="15"/>
  <c r="L533" i="15"/>
  <c r="M533" i="15"/>
  <c r="L498" i="15"/>
  <c r="M498" i="15"/>
  <c r="K423" i="15"/>
  <c r="J423" i="15"/>
  <c r="M501" i="15"/>
  <c r="L501" i="15"/>
  <c r="K454" i="15"/>
  <c r="M477" i="15"/>
  <c r="L477" i="15"/>
  <c r="J408" i="15"/>
  <c r="K408" i="15"/>
  <c r="H83" i="15"/>
  <c r="I83" i="15"/>
  <c r="J460" i="15"/>
  <c r="K460" i="15"/>
  <c r="I105" i="15"/>
  <c r="H105" i="15"/>
  <c r="H82" i="15"/>
  <c r="I168" i="15"/>
  <c r="H168" i="15"/>
  <c r="H78" i="15"/>
  <c r="I78" i="15"/>
  <c r="I87" i="15"/>
  <c r="H87" i="15"/>
  <c r="E552" i="15"/>
  <c r="D584" i="15"/>
  <c r="L500" i="15"/>
  <c r="M500" i="15"/>
  <c r="K450" i="15"/>
  <c r="J450" i="15"/>
  <c r="M476" i="15"/>
  <c r="L476" i="15"/>
  <c r="K526" i="15"/>
  <c r="M486" i="15"/>
  <c r="L486" i="15"/>
  <c r="H85" i="15"/>
  <c r="I85" i="15"/>
  <c r="G119" i="15"/>
  <c r="E122" i="15"/>
  <c r="E123" i="15"/>
  <c r="L518" i="15"/>
  <c r="M518" i="15"/>
  <c r="L494" i="15"/>
  <c r="M494" i="15"/>
  <c r="K455" i="15"/>
  <c r="J455" i="15"/>
  <c r="K446" i="15"/>
  <c r="J446" i="15"/>
  <c r="K429" i="15"/>
  <c r="J429" i="15"/>
  <c r="K422" i="15"/>
  <c r="J422" i="15"/>
  <c r="K410" i="15"/>
  <c r="J410" i="15"/>
  <c r="L534" i="15"/>
  <c r="M534" i="15"/>
  <c r="M487" i="15"/>
  <c r="L487" i="15"/>
  <c r="P461" i="15"/>
  <c r="Q461" i="15" s="1"/>
  <c r="R461" i="15" s="1"/>
  <c r="G465" i="15"/>
  <c r="P465" i="15" s="1"/>
  <c r="Q465" i="15" s="1"/>
  <c r="R465" i="15" s="1"/>
  <c r="G464" i="15"/>
  <c r="P464" i="15" s="1"/>
  <c r="Q464" i="15" s="1"/>
  <c r="R464" i="15" s="1"/>
  <c r="J407" i="15"/>
  <c r="K407" i="15"/>
  <c r="H104" i="15"/>
  <c r="I104" i="15"/>
  <c r="I92" i="15"/>
  <c r="H92" i="15"/>
  <c r="F123" i="15"/>
  <c r="F122" i="15"/>
  <c r="J447" i="15"/>
  <c r="K447" i="15"/>
  <c r="H58" i="15"/>
  <c r="H35" i="15"/>
  <c r="H27" i="15"/>
  <c r="K27" i="15" s="1"/>
  <c r="H18" i="15"/>
  <c r="H13" i="15"/>
  <c r="H59" i="15"/>
  <c r="H55" i="15"/>
  <c r="H38" i="15"/>
  <c r="H36" i="15"/>
  <c r="H29" i="15"/>
  <c r="H24" i="15"/>
  <c r="H19" i="15"/>
  <c r="H14" i="15"/>
  <c r="H57" i="15"/>
  <c r="K57" i="15" s="1"/>
  <c r="M57" i="15" s="1"/>
  <c r="H53" i="15"/>
  <c r="K53" i="15" s="1"/>
  <c r="G8" i="2" s="1"/>
  <c r="H32" i="15"/>
  <c r="H25" i="15"/>
  <c r="H51" i="15"/>
  <c r="H47" i="15"/>
  <c r="H20" i="15"/>
  <c r="H15" i="15"/>
  <c r="H60" i="15"/>
  <c r="H52" i="15"/>
  <c r="H26" i="15"/>
  <c r="K26" i="15" s="1"/>
  <c r="H12" i="15"/>
  <c r="H56" i="15"/>
  <c r="K56" i="15" s="1"/>
  <c r="M56" i="15" s="1"/>
  <c r="H44" i="15"/>
  <c r="K44" i="15" s="1"/>
  <c r="H21" i="15"/>
  <c r="H39" i="15"/>
  <c r="K39" i="15" s="1"/>
  <c r="H42" i="15"/>
  <c r="H37" i="15"/>
  <c r="H33" i="15"/>
  <c r="H17" i="15"/>
  <c r="H11" i="15"/>
  <c r="H88" i="15"/>
  <c r="I88" i="15"/>
  <c r="K419" i="15"/>
  <c r="J419" i="15"/>
  <c r="G61" i="15"/>
  <c r="G62" i="15"/>
  <c r="J443" i="15"/>
  <c r="K443" i="15"/>
  <c r="M31" i="15"/>
  <c r="L31" i="15"/>
  <c r="M520" i="15"/>
  <c r="L520" i="15"/>
  <c r="I156" i="15"/>
  <c r="H156" i="15"/>
  <c r="H81" i="15"/>
  <c r="I81" i="15"/>
  <c r="I93" i="15"/>
  <c r="H93" i="15"/>
  <c r="I173" i="15"/>
  <c r="F12" i="2" s="1"/>
  <c r="H173" i="15"/>
  <c r="H163" i="15"/>
  <c r="I163" i="15"/>
  <c r="I165" i="15"/>
  <c r="H165" i="15"/>
  <c r="I138" i="15"/>
  <c r="H138" i="15"/>
  <c r="I157" i="15"/>
  <c r="H157" i="15"/>
  <c r="I146" i="15"/>
  <c r="H146" i="15"/>
  <c r="I160" i="15"/>
  <c r="H160" i="15"/>
  <c r="I426" i="15"/>
  <c r="G111" i="15"/>
  <c r="G141" i="15"/>
  <c r="I420" i="15"/>
  <c r="I457" i="15"/>
  <c r="G136" i="15"/>
  <c r="H46" i="15"/>
  <c r="F465" i="15"/>
  <c r="G140" i="15"/>
  <c r="G101" i="15"/>
  <c r="K43" i="15"/>
  <c r="H54" i="15"/>
  <c r="G74" i="15"/>
  <c r="G90" i="15"/>
  <c r="G120" i="15"/>
  <c r="G134" i="15"/>
  <c r="G169" i="15"/>
  <c r="N11" i="15" l="1"/>
  <c r="N49" i="15" s="1"/>
  <c r="I49" i="15"/>
  <c r="K34" i="15"/>
  <c r="N34" i="15"/>
  <c r="K229" i="1"/>
  <c r="I34" i="16"/>
  <c r="J224" i="1"/>
  <c r="J29" i="16" s="1"/>
  <c r="I29" i="16"/>
  <c r="J210" i="1"/>
  <c r="J15" i="16" s="1"/>
  <c r="I15" i="16"/>
  <c r="J223" i="1"/>
  <c r="J28" i="16" s="1"/>
  <c r="I28" i="16"/>
  <c r="K205" i="1"/>
  <c r="I10" i="16"/>
  <c r="K209" i="1"/>
  <c r="I14" i="16"/>
  <c r="K242" i="1"/>
  <c r="D27" i="2" s="1"/>
  <c r="I252" i="1"/>
  <c r="K252" i="1" s="1"/>
  <c r="H49" i="15"/>
  <c r="K208" i="1"/>
  <c r="I13" i="16"/>
  <c r="J213" i="1"/>
  <c r="J18" i="16" s="1"/>
  <c r="I18" i="16"/>
  <c r="K203" i="1"/>
  <c r="I8" i="16"/>
  <c r="K15" i="15"/>
  <c r="K211" i="1"/>
  <c r="I16" i="16"/>
  <c r="K221" i="1"/>
  <c r="I26" i="16"/>
  <c r="J222" i="1"/>
  <c r="J27" i="16" s="1"/>
  <c r="I27" i="16"/>
  <c r="J220" i="1"/>
  <c r="J25" i="16" s="1"/>
  <c r="I25" i="16"/>
  <c r="K226" i="1"/>
  <c r="I31" i="16"/>
  <c r="J212" i="1"/>
  <c r="J17" i="16" s="1"/>
  <c r="I17" i="16"/>
  <c r="K230" i="1"/>
  <c r="I35" i="16"/>
  <c r="K235" i="1"/>
  <c r="I40" i="16"/>
  <c r="J216" i="1"/>
  <c r="J21" i="16" s="1"/>
  <c r="I21" i="16"/>
  <c r="J204" i="1"/>
  <c r="J9" i="16" s="1"/>
  <c r="I9" i="16"/>
  <c r="G170" i="15"/>
  <c r="H170" i="15" s="1"/>
  <c r="H240" i="1"/>
  <c r="U12" i="2"/>
  <c r="I176" i="15"/>
  <c r="L12" i="2" s="1"/>
  <c r="K12" i="2"/>
  <c r="K29" i="15"/>
  <c r="M459" i="15"/>
  <c r="I115" i="15"/>
  <c r="J9" i="2" s="1"/>
  <c r="K45" i="15"/>
  <c r="K33" i="15"/>
  <c r="I72" i="15"/>
  <c r="H72" i="15"/>
  <c r="K11" i="15"/>
  <c r="J49" i="15"/>
  <c r="K49" i="15" s="1"/>
  <c r="H110" i="15"/>
  <c r="I110" i="15"/>
  <c r="V9" i="2" s="1"/>
  <c r="U9" i="2"/>
  <c r="K54" i="15"/>
  <c r="I8" i="2" s="1"/>
  <c r="K51" i="15"/>
  <c r="C8" i="2" s="1"/>
  <c r="K21" i="15"/>
  <c r="M21" i="15" s="1"/>
  <c r="K35" i="15"/>
  <c r="I113" i="15"/>
  <c r="M460" i="15"/>
  <c r="K20" i="15"/>
  <c r="K12" i="15"/>
  <c r="K13" i="15"/>
  <c r="J242" i="1"/>
  <c r="K246" i="1"/>
  <c r="E27" i="2"/>
  <c r="I253" i="1"/>
  <c r="J253" i="1" s="1"/>
  <c r="K243" i="1"/>
  <c r="J249" i="1"/>
  <c r="K27" i="2"/>
  <c r="M27" i="2"/>
  <c r="G27" i="2"/>
  <c r="J248" i="1"/>
  <c r="J244" i="1"/>
  <c r="K219" i="1"/>
  <c r="S27" i="2"/>
  <c r="J250" i="1"/>
  <c r="K250" i="1"/>
  <c r="J202" i="1"/>
  <c r="J7" i="16" s="1"/>
  <c r="K245" i="1"/>
  <c r="J27" i="2" s="1"/>
  <c r="J245" i="1"/>
  <c r="I27" i="2"/>
  <c r="K48" i="15"/>
  <c r="M48" i="15" s="1"/>
  <c r="K36" i="15"/>
  <c r="L36" i="15" s="1"/>
  <c r="J209" i="1"/>
  <c r="J14" i="16" s="1"/>
  <c r="J226" i="1"/>
  <c r="J31" i="16" s="1"/>
  <c r="J235" i="1"/>
  <c r="J40" i="16" s="1"/>
  <c r="J211" i="1"/>
  <c r="J16" i="16" s="1"/>
  <c r="J61" i="15"/>
  <c r="K37" i="15"/>
  <c r="M37" i="15" s="1"/>
  <c r="K47" i="15"/>
  <c r="L47" i="15" s="1"/>
  <c r="K24" i="15"/>
  <c r="L24" i="15" s="1"/>
  <c r="K55" i="15"/>
  <c r="K38" i="15"/>
  <c r="L38" i="15" s="1"/>
  <c r="K18" i="15"/>
  <c r="L18" i="15" s="1"/>
  <c r="K40" i="15"/>
  <c r="L40" i="15" s="1"/>
  <c r="K222" i="1"/>
  <c r="K212" i="1"/>
  <c r="K223" i="1"/>
  <c r="K210" i="1"/>
  <c r="K220" i="1"/>
  <c r="K42" i="15"/>
  <c r="L42" i="15" s="1"/>
  <c r="K59" i="15"/>
  <c r="J62" i="15"/>
  <c r="K46" i="15"/>
  <c r="L46" i="15" s="1"/>
  <c r="K202" i="1"/>
  <c r="K204" i="1"/>
  <c r="J219" i="1"/>
  <c r="J24" i="16" s="1"/>
  <c r="J230" i="1"/>
  <c r="J35" i="16" s="1"/>
  <c r="K216" i="1"/>
  <c r="J205" i="1"/>
  <c r="J10" i="16" s="1"/>
  <c r="J221" i="1"/>
  <c r="J26" i="16" s="1"/>
  <c r="K213" i="1"/>
  <c r="K19" i="15"/>
  <c r="L19" i="15" s="1"/>
  <c r="K52" i="15"/>
  <c r="E8" i="2" s="1"/>
  <c r="K17" i="15"/>
  <c r="L17" i="15" s="1"/>
  <c r="K41" i="15"/>
  <c r="M41" i="15" s="1"/>
  <c r="K224" i="1"/>
  <c r="J229" i="1"/>
  <c r="J34" i="16" s="1"/>
  <c r="J208" i="1"/>
  <c r="J13" i="16" s="1"/>
  <c r="J203" i="1"/>
  <c r="J8" i="16" s="1"/>
  <c r="J214" i="1"/>
  <c r="J19" i="16" s="1"/>
  <c r="K214" i="1"/>
  <c r="J207" i="1"/>
  <c r="J12" i="16" s="1"/>
  <c r="K207" i="1"/>
  <c r="J227" i="1"/>
  <c r="J32" i="16" s="1"/>
  <c r="K227" i="1"/>
  <c r="J228" i="1"/>
  <c r="J33" i="16" s="1"/>
  <c r="K228" i="1"/>
  <c r="J217" i="1"/>
  <c r="J22" i="16" s="1"/>
  <c r="K217" i="1"/>
  <c r="J218" i="1"/>
  <c r="J23" i="16" s="1"/>
  <c r="K218" i="1"/>
  <c r="J206" i="1"/>
  <c r="J11" i="16" s="1"/>
  <c r="K206" i="1"/>
  <c r="M47" i="15"/>
  <c r="L27" i="15"/>
  <c r="M27" i="15"/>
  <c r="L26" i="15"/>
  <c r="M26" i="15"/>
  <c r="M20" i="15"/>
  <c r="L20" i="15"/>
  <c r="M18" i="15"/>
  <c r="M44" i="15"/>
  <c r="L44" i="15"/>
  <c r="M29" i="15"/>
  <c r="L29" i="15"/>
  <c r="I74" i="15"/>
  <c r="H74" i="15"/>
  <c r="L35" i="15"/>
  <c r="M35" i="15"/>
  <c r="I141" i="15"/>
  <c r="H141" i="15"/>
  <c r="L13" i="15"/>
  <c r="M13" i="15"/>
  <c r="M53" i="15"/>
  <c r="H8" i="2" s="1"/>
  <c r="L53" i="15"/>
  <c r="M55" i="15"/>
  <c r="L8" i="2" s="1"/>
  <c r="G123" i="15"/>
  <c r="Q9" i="2" s="1"/>
  <c r="G122" i="15"/>
  <c r="H119" i="15"/>
  <c r="I119" i="15"/>
  <c r="I142" i="15"/>
  <c r="H142" i="15"/>
  <c r="L12" i="15"/>
  <c r="M12" i="15"/>
  <c r="K449" i="15"/>
  <c r="J449" i="15"/>
  <c r="M11" i="15"/>
  <c r="L11" i="15"/>
  <c r="M45" i="15"/>
  <c r="L45" i="15"/>
  <c r="E596" i="15"/>
  <c r="F593" i="15"/>
  <c r="E597" i="15"/>
  <c r="I62" i="15"/>
  <c r="I61" i="15"/>
  <c r="L48" i="15"/>
  <c r="M43" i="15"/>
  <c r="L43" i="15"/>
  <c r="K420" i="15"/>
  <c r="J420" i="15"/>
  <c r="H178" i="15"/>
  <c r="I178" i="15"/>
  <c r="N12" i="2" s="1"/>
  <c r="H135" i="15"/>
  <c r="I135" i="15"/>
  <c r="M39" i="15"/>
  <c r="L39" i="15"/>
  <c r="I120" i="15"/>
  <c r="M462" i="15" s="1"/>
  <c r="H120" i="15"/>
  <c r="M15" i="15"/>
  <c r="L15" i="15"/>
  <c r="K457" i="15"/>
  <c r="M457" i="15" s="1"/>
  <c r="J457" i="15"/>
  <c r="I111" i="15"/>
  <c r="H111" i="15"/>
  <c r="H62" i="15"/>
  <c r="H61" i="15"/>
  <c r="I162" i="15"/>
  <c r="H162" i="15"/>
  <c r="I79" i="15"/>
  <c r="H79" i="15"/>
  <c r="H172" i="15"/>
  <c r="I172" i="15"/>
  <c r="D12" i="2" s="1"/>
  <c r="I86" i="15"/>
  <c r="H86" i="15"/>
  <c r="G183" i="15"/>
  <c r="Q12" i="2" s="1"/>
  <c r="G182" i="15"/>
  <c r="I179" i="15"/>
  <c r="H179" i="15"/>
  <c r="K464" i="15"/>
  <c r="K465" i="15"/>
  <c r="I452" i="15"/>
  <c r="K32" i="15"/>
  <c r="K58" i="15"/>
  <c r="C186" i="15" s="1"/>
  <c r="K25" i="15"/>
  <c r="K14" i="15"/>
  <c r="L526" i="15"/>
  <c r="T11" i="15"/>
  <c r="M456" i="15"/>
  <c r="I169" i="15"/>
  <c r="H169" i="15"/>
  <c r="I101" i="15"/>
  <c r="H101" i="15"/>
  <c r="I148" i="15"/>
  <c r="H148" i="15"/>
  <c r="I90" i="15"/>
  <c r="H90" i="15"/>
  <c r="L33" i="15"/>
  <c r="M33" i="15"/>
  <c r="I139" i="15"/>
  <c r="H139" i="15"/>
  <c r="K403" i="15"/>
  <c r="J403" i="15"/>
  <c r="M539" i="15"/>
  <c r="M538" i="15"/>
  <c r="I134" i="15"/>
  <c r="H134" i="15"/>
  <c r="H140" i="15"/>
  <c r="I140" i="15"/>
  <c r="I136" i="15"/>
  <c r="H136" i="15"/>
  <c r="M51" i="15"/>
  <c r="D8" i="2" s="1"/>
  <c r="L51" i="15"/>
  <c r="K426" i="15"/>
  <c r="J426" i="15"/>
  <c r="F552" i="15"/>
  <c r="F584" i="15" s="1"/>
  <c r="E584" i="15"/>
  <c r="H171" i="15"/>
  <c r="I171" i="15"/>
  <c r="K453" i="15"/>
  <c r="M453" i="15" s="1"/>
  <c r="J453" i="15"/>
  <c r="K458" i="15"/>
  <c r="M458" i="15" s="1"/>
  <c r="J458" i="15"/>
  <c r="M50" i="15"/>
  <c r="L50" i="15"/>
  <c r="M34" i="15"/>
  <c r="L34" i="15"/>
  <c r="L538" i="15"/>
  <c r="L539" i="15"/>
  <c r="J464" i="15"/>
  <c r="J465" i="15"/>
  <c r="M526" i="15"/>
  <c r="K60" i="15"/>
  <c r="C188" i="15" s="1"/>
  <c r="D188" i="15" s="1"/>
  <c r="M454" i="15"/>
  <c r="J452" i="15" l="1"/>
  <c r="I170" i="15"/>
  <c r="V12" i="2" s="1"/>
  <c r="M49" i="15"/>
  <c r="L49" i="15"/>
  <c r="D186" i="15"/>
  <c r="M54" i="15"/>
  <c r="J8" i="2" s="1"/>
  <c r="L21" i="15"/>
  <c r="M59" i="15"/>
  <c r="C187" i="15"/>
  <c r="D187" i="15" s="1"/>
  <c r="M40" i="15"/>
  <c r="M455" i="15"/>
  <c r="L54" i="15"/>
  <c r="K452" i="15"/>
  <c r="J252" i="1"/>
  <c r="Q27" i="2"/>
  <c r="K253" i="1"/>
  <c r="R27" i="2" s="1"/>
  <c r="P8" i="2"/>
  <c r="O8" i="2"/>
  <c r="M36" i="15"/>
  <c r="M38" i="15"/>
  <c r="M24" i="15"/>
  <c r="M19" i="15"/>
  <c r="N8" i="2"/>
  <c r="M8" i="2"/>
  <c r="M22" i="2" s="1"/>
  <c r="L55" i="15"/>
  <c r="K8" i="2"/>
  <c r="L37" i="15"/>
  <c r="L56" i="15"/>
  <c r="L57" i="15"/>
  <c r="M52" i="15"/>
  <c r="F8" i="2" s="1"/>
  <c r="M42" i="15"/>
  <c r="M46" i="15"/>
  <c r="L59" i="15"/>
  <c r="L41" i="15"/>
  <c r="M17" i="15"/>
  <c r="L52" i="15"/>
  <c r="M452" i="15"/>
  <c r="M32" i="15"/>
  <c r="L32" i="15"/>
  <c r="I123" i="15"/>
  <c r="R9" i="2" s="1"/>
  <c r="I122" i="15"/>
  <c r="M464" i="15" s="1"/>
  <c r="K61" i="15"/>
  <c r="L58" i="15"/>
  <c r="K62" i="15"/>
  <c r="Q8" i="2" s="1"/>
  <c r="M58" i="15"/>
  <c r="I182" i="15"/>
  <c r="I183" i="15"/>
  <c r="R12" i="2" s="1"/>
  <c r="F596" i="15"/>
  <c r="F597" i="15"/>
  <c r="M60" i="15"/>
  <c r="L60" i="15"/>
  <c r="M25" i="15"/>
  <c r="L25" i="15"/>
  <c r="H182" i="15"/>
  <c r="H183" i="15"/>
  <c r="M14" i="15"/>
  <c r="L14" i="15"/>
  <c r="H122" i="15"/>
  <c r="H123" i="15"/>
  <c r="M465" i="15"/>
  <c r="M461" i="15"/>
  <c r="U8" i="2"/>
  <c r="C190" i="15" l="1"/>
  <c r="D190" i="15" s="1"/>
  <c r="C189" i="15"/>
  <c r="D189" i="15" s="1"/>
  <c r="M62" i="15"/>
  <c r="R8" i="2" s="1"/>
  <c r="V8" i="2"/>
  <c r="V22" i="2" s="1"/>
  <c r="M61" i="15"/>
  <c r="L62" i="15"/>
  <c r="L61" i="15"/>
  <c r="D28" i="5" l="1"/>
  <c r="D13" i="5"/>
  <c r="F22" i="10"/>
  <c r="H22" i="10" s="1"/>
  <c r="I22" i="10" s="1"/>
  <c r="P16" i="2" s="1"/>
  <c r="F34" i="10"/>
  <c r="H34" i="10" s="1"/>
  <c r="O17" i="2" s="1"/>
  <c r="F23" i="6"/>
  <c r="H23" i="6" s="1"/>
  <c r="I23" i="6" s="1"/>
  <c r="F12" i="6"/>
  <c r="G12" i="6" s="1"/>
  <c r="H6" i="1"/>
  <c r="G51" i="1"/>
  <c r="F175" i="1" l="1"/>
  <c r="J175" i="1" s="1"/>
  <c r="F170" i="1"/>
  <c r="J170" i="1" s="1"/>
  <c r="F168" i="1"/>
  <c r="J168" i="1" s="1"/>
  <c r="F174" i="1"/>
  <c r="J174" i="1" s="1"/>
  <c r="F169" i="1"/>
  <c r="J169" i="1" s="1"/>
  <c r="F176" i="1"/>
  <c r="J176" i="1" s="1"/>
  <c r="F171" i="1"/>
  <c r="J171" i="1" s="1"/>
  <c r="F173" i="1"/>
  <c r="J173" i="1" s="1"/>
  <c r="F107" i="1"/>
  <c r="J107" i="1" s="1"/>
  <c r="F109" i="1"/>
  <c r="J109" i="1" s="1"/>
  <c r="F111" i="1"/>
  <c r="J111" i="1" s="1"/>
  <c r="F106" i="1"/>
  <c r="J106" i="1" s="1"/>
  <c r="F112" i="1"/>
  <c r="J112" i="1" s="1"/>
  <c r="F104" i="1"/>
  <c r="J104" i="1" s="1"/>
  <c r="F110" i="1"/>
  <c r="J110" i="1" s="1"/>
  <c r="F105" i="1"/>
  <c r="J105" i="1" s="1"/>
  <c r="F46" i="1"/>
  <c r="J46" i="1" s="1"/>
  <c r="F41" i="1"/>
  <c r="J41" i="1" s="1"/>
  <c r="F48" i="1"/>
  <c r="J48" i="1" s="1"/>
  <c r="J50" i="1"/>
  <c r="F45" i="1"/>
  <c r="J45" i="1" s="1"/>
  <c r="F47" i="1"/>
  <c r="J47" i="1" s="1"/>
  <c r="F42" i="1"/>
  <c r="J42" i="1" s="1"/>
  <c r="F43" i="1"/>
  <c r="J43" i="1" s="1"/>
  <c r="F40" i="1"/>
  <c r="J40" i="1" s="1"/>
  <c r="D170" i="1"/>
  <c r="H170" i="1" s="1"/>
  <c r="K170" i="1" s="1"/>
  <c r="G38" i="16" s="1"/>
  <c r="D112" i="1"/>
  <c r="H112" i="1" s="1"/>
  <c r="D109" i="1"/>
  <c r="H109" i="1" s="1"/>
  <c r="D107" i="1"/>
  <c r="H107" i="1" s="1"/>
  <c r="K107" i="1" s="1"/>
  <c r="E39" i="16" s="1"/>
  <c r="D105" i="1"/>
  <c r="H105" i="1" s="1"/>
  <c r="K105" i="1" s="1"/>
  <c r="E37" i="16" s="1"/>
  <c r="D176" i="1"/>
  <c r="H176" i="1" s="1"/>
  <c r="D168" i="1"/>
  <c r="H168" i="1" s="1"/>
  <c r="D110" i="1"/>
  <c r="H110" i="1" s="1"/>
  <c r="D178" i="1"/>
  <c r="H178" i="1" s="1"/>
  <c r="K178" i="1" s="1"/>
  <c r="D174" i="1"/>
  <c r="H174" i="1" s="1"/>
  <c r="K174" i="1" s="1"/>
  <c r="G42" i="16" s="1"/>
  <c r="D169" i="1"/>
  <c r="H169" i="1" s="1"/>
  <c r="D175" i="1"/>
  <c r="H175" i="1" s="1"/>
  <c r="D171" i="1"/>
  <c r="H171" i="1" s="1"/>
  <c r="D114" i="1"/>
  <c r="H114" i="1" s="1"/>
  <c r="K114" i="1" s="1"/>
  <c r="L114" i="1" s="1"/>
  <c r="D111" i="1"/>
  <c r="H111" i="1" s="1"/>
  <c r="D106" i="1"/>
  <c r="H106" i="1" s="1"/>
  <c r="D104" i="1"/>
  <c r="H104" i="1" s="1"/>
  <c r="H113" i="1" s="1"/>
  <c r="D173" i="1"/>
  <c r="H173" i="1" s="1"/>
  <c r="M101" i="1"/>
  <c r="D47" i="1"/>
  <c r="D237" i="1"/>
  <c r="G237" i="1" s="1"/>
  <c r="I237" i="1" s="1"/>
  <c r="I42" i="16" s="1"/>
  <c r="D232" i="1"/>
  <c r="G232" i="1" s="1"/>
  <c r="I232" i="1" s="1"/>
  <c r="I37" i="16" s="1"/>
  <c r="D238" i="1"/>
  <c r="G238" i="1" s="1"/>
  <c r="I238" i="1" s="1"/>
  <c r="I43" i="16" s="1"/>
  <c r="D233" i="1"/>
  <c r="G233" i="1" s="1"/>
  <c r="I233" i="1" s="1"/>
  <c r="I38" i="16" s="1"/>
  <c r="D239" i="1"/>
  <c r="G239" i="1" s="1"/>
  <c r="I239" i="1" s="1"/>
  <c r="I44" i="16" s="1"/>
  <c r="D234" i="1"/>
  <c r="G234" i="1" s="1"/>
  <c r="I234" i="1" s="1"/>
  <c r="I39" i="16" s="1"/>
  <c r="D241" i="1"/>
  <c r="G241" i="1" s="1"/>
  <c r="D236" i="1"/>
  <c r="G236" i="1" s="1"/>
  <c r="I236" i="1" s="1"/>
  <c r="I41" i="16" s="1"/>
  <c r="D231" i="1"/>
  <c r="G231" i="1" s="1"/>
  <c r="G240" i="1" s="1"/>
  <c r="I240" i="1" s="1"/>
  <c r="D50" i="1"/>
  <c r="D45" i="1"/>
  <c r="M95" i="1"/>
  <c r="M94" i="1"/>
  <c r="D43" i="1"/>
  <c r="D41" i="1"/>
  <c r="D48" i="1"/>
  <c r="D40" i="1"/>
  <c r="D46" i="1"/>
  <c r="D42" i="1"/>
  <c r="G31" i="1"/>
  <c r="G30" i="1"/>
  <c r="G23" i="1"/>
  <c r="O16" i="2"/>
  <c r="E55" i="6"/>
  <c r="G60" i="1"/>
  <c r="B6" i="1"/>
  <c r="H11" i="1" s="1"/>
  <c r="I34" i="10"/>
  <c r="P17" i="2" s="1"/>
  <c r="E46" i="10"/>
  <c r="F46" i="10" s="1"/>
  <c r="G46" i="10" s="1"/>
  <c r="M103" i="1"/>
  <c r="G11" i="1"/>
  <c r="G15" i="1"/>
  <c r="G21" i="1"/>
  <c r="G48" i="1"/>
  <c r="M80" i="1"/>
  <c r="L100" i="1"/>
  <c r="F32" i="16" s="1"/>
  <c r="G44" i="1"/>
  <c r="G26" i="1"/>
  <c r="G29" i="1"/>
  <c r="G40" i="1"/>
  <c r="G59" i="1"/>
  <c r="G17" i="1"/>
  <c r="G58" i="1"/>
  <c r="G56" i="1"/>
  <c r="G54" i="1"/>
  <c r="G52" i="1"/>
  <c r="G50" i="1"/>
  <c r="G35" i="1"/>
  <c r="G32" i="1"/>
  <c r="G27" i="1"/>
  <c r="G25" i="1"/>
  <c r="G14" i="1"/>
  <c r="G20" i="1"/>
  <c r="G39" i="1"/>
  <c r="G43" i="1"/>
  <c r="G47" i="1"/>
  <c r="G53" i="1"/>
  <c r="G13" i="1"/>
  <c r="G19" i="1"/>
  <c r="G36" i="1"/>
  <c r="G42" i="1"/>
  <c r="G46" i="1"/>
  <c r="G55" i="1"/>
  <c r="G12" i="1"/>
  <c r="G16" i="1"/>
  <c r="G18" i="1"/>
  <c r="G22" i="1"/>
  <c r="G28" i="1"/>
  <c r="G33" i="1"/>
  <c r="G41" i="1"/>
  <c r="G45" i="1"/>
  <c r="G57" i="1"/>
  <c r="J240" i="1" l="1"/>
  <c r="K240" i="1"/>
  <c r="H177" i="1"/>
  <c r="J113" i="1"/>
  <c r="K113" i="1" s="1"/>
  <c r="G49" i="1"/>
  <c r="J49" i="1"/>
  <c r="J177" i="1"/>
  <c r="K176" i="1"/>
  <c r="K106" i="1"/>
  <c r="E38" i="16" s="1"/>
  <c r="K169" i="1"/>
  <c r="K175" i="1"/>
  <c r="K171" i="1"/>
  <c r="K168" i="1"/>
  <c r="G36" i="16" s="1"/>
  <c r="K173" i="1"/>
  <c r="I41" i="1"/>
  <c r="I46" i="1"/>
  <c r="I39" i="1"/>
  <c r="K39" i="1" s="1"/>
  <c r="C35" i="16" s="1"/>
  <c r="K35" i="16" s="1"/>
  <c r="I26" i="1"/>
  <c r="I43" i="1"/>
  <c r="I11" i="1"/>
  <c r="I12" i="1"/>
  <c r="I47" i="1"/>
  <c r="I14" i="1"/>
  <c r="I35" i="1"/>
  <c r="I40" i="1"/>
  <c r="I33" i="1"/>
  <c r="I42" i="1"/>
  <c r="I20" i="1"/>
  <c r="I32" i="1"/>
  <c r="I44" i="1"/>
  <c r="K44" i="1" s="1"/>
  <c r="C40" i="16" s="1"/>
  <c r="K40" i="16" s="1"/>
  <c r="I21" i="1"/>
  <c r="K104" i="1"/>
  <c r="K110" i="1"/>
  <c r="K112" i="1"/>
  <c r="I18" i="1"/>
  <c r="I13" i="1"/>
  <c r="I27" i="1"/>
  <c r="I17" i="1"/>
  <c r="I48" i="1"/>
  <c r="I45" i="1"/>
  <c r="I19" i="1"/>
  <c r="I25" i="1"/>
  <c r="I29" i="1"/>
  <c r="I36" i="1"/>
  <c r="I15" i="1"/>
  <c r="K111" i="1"/>
  <c r="K109" i="1"/>
  <c r="I50" i="1"/>
  <c r="M178" i="1"/>
  <c r="I241" i="1"/>
  <c r="K241" i="1" s="1"/>
  <c r="L175" i="1"/>
  <c r="H43" i="16" s="1"/>
  <c r="L170" i="1"/>
  <c r="H38" i="16" s="1"/>
  <c r="M170" i="1"/>
  <c r="H187" i="1"/>
  <c r="K187" i="1" s="1"/>
  <c r="H188" i="1"/>
  <c r="K188" i="1" s="1"/>
  <c r="M174" i="1"/>
  <c r="L174" i="1"/>
  <c r="H42" i="16" s="1"/>
  <c r="M169" i="1"/>
  <c r="L101" i="1"/>
  <c r="F33" i="16" s="1"/>
  <c r="H52" i="1"/>
  <c r="K52" i="1" s="1"/>
  <c r="H53" i="1"/>
  <c r="K53" i="1" s="1"/>
  <c r="I22" i="1"/>
  <c r="K22" i="1" s="1"/>
  <c r="I16" i="1"/>
  <c r="K16" i="1" s="1"/>
  <c r="I31" i="1"/>
  <c r="K31" i="1" s="1"/>
  <c r="I30" i="1"/>
  <c r="K30" i="1" s="1"/>
  <c r="I28" i="1"/>
  <c r="K28" i="1" s="1"/>
  <c r="I23" i="1"/>
  <c r="K23" i="1" s="1"/>
  <c r="K233" i="1"/>
  <c r="J233" i="1"/>
  <c r="J38" i="16" s="1"/>
  <c r="I231" i="1"/>
  <c r="K237" i="1"/>
  <c r="J237" i="1"/>
  <c r="J42" i="16" s="1"/>
  <c r="J234" i="1"/>
  <c r="J39" i="16" s="1"/>
  <c r="K234" i="1"/>
  <c r="J232" i="1"/>
  <c r="J37" i="16" s="1"/>
  <c r="K232" i="1"/>
  <c r="H47" i="1"/>
  <c r="K47" i="1" s="1"/>
  <c r="C43" i="16" s="1"/>
  <c r="J236" i="1"/>
  <c r="J41" i="16" s="1"/>
  <c r="K236" i="1"/>
  <c r="J239" i="1"/>
  <c r="J44" i="16" s="1"/>
  <c r="K239" i="1"/>
  <c r="J238" i="1"/>
  <c r="J43" i="16" s="1"/>
  <c r="K238" i="1"/>
  <c r="N27" i="2"/>
  <c r="T27" i="2"/>
  <c r="F27" i="2"/>
  <c r="L27" i="2"/>
  <c r="L94" i="1"/>
  <c r="F26" i="16" s="1"/>
  <c r="L95" i="1"/>
  <c r="F27" i="16" s="1"/>
  <c r="M87" i="1"/>
  <c r="L87" i="1"/>
  <c r="F19" i="16" s="1"/>
  <c r="H60" i="1"/>
  <c r="K60" i="1" s="1"/>
  <c r="H37" i="1"/>
  <c r="K37" i="1" s="1"/>
  <c r="C33" i="16" s="1"/>
  <c r="K33" i="16" s="1"/>
  <c r="F55" i="6"/>
  <c r="O10" i="2"/>
  <c r="H41" i="1"/>
  <c r="K41" i="1" s="1"/>
  <c r="C37" i="16" s="1"/>
  <c r="H55" i="1"/>
  <c r="K55" i="1" s="1"/>
  <c r="H58" i="1"/>
  <c r="M76" i="1"/>
  <c r="H18" i="1"/>
  <c r="H38" i="1"/>
  <c r="K38" i="1" s="1"/>
  <c r="C34" i="16" s="1"/>
  <c r="K34" i="16" s="1"/>
  <c r="H17" i="1"/>
  <c r="H46" i="1"/>
  <c r="M85" i="1"/>
  <c r="M83" i="1"/>
  <c r="H51" i="1"/>
  <c r="K51" i="1" s="1"/>
  <c r="H40" i="1"/>
  <c r="H26" i="1"/>
  <c r="L79" i="1"/>
  <c r="F11" i="16" s="1"/>
  <c r="H36" i="1"/>
  <c r="H20" i="1"/>
  <c r="H50" i="1"/>
  <c r="K50" i="1" s="1"/>
  <c r="L50" i="1" s="1"/>
  <c r="H48" i="1"/>
  <c r="K48" i="1" s="1"/>
  <c r="C44" i="16" s="1"/>
  <c r="H21" i="1"/>
  <c r="K21" i="1" s="1"/>
  <c r="C17" i="16" s="1"/>
  <c r="K17" i="16" s="1"/>
  <c r="H27" i="1"/>
  <c r="M90" i="1"/>
  <c r="H32" i="1"/>
  <c r="H56" i="1"/>
  <c r="K56" i="1" s="1"/>
  <c r="H45" i="1"/>
  <c r="H29" i="1"/>
  <c r="H14" i="1"/>
  <c r="K14" i="1" s="1"/>
  <c r="C10" i="16" s="1"/>
  <c r="K10" i="16" s="1"/>
  <c r="H33" i="1"/>
  <c r="H35" i="1"/>
  <c r="H13" i="1"/>
  <c r="H19" i="1"/>
  <c r="H59" i="1"/>
  <c r="K59" i="1" s="1"/>
  <c r="M108" i="1"/>
  <c r="H54" i="1"/>
  <c r="H25" i="1"/>
  <c r="H12" i="1"/>
  <c r="H49" i="1" s="1"/>
  <c r="H43" i="1"/>
  <c r="K43" i="1" s="1"/>
  <c r="C39" i="16" s="1"/>
  <c r="H42" i="1"/>
  <c r="K42" i="1" s="1"/>
  <c r="C38" i="16" s="1"/>
  <c r="K38" i="16" s="1"/>
  <c r="H24" i="1"/>
  <c r="K24" i="1" s="1"/>
  <c r="C20" i="16" s="1"/>
  <c r="K20" i="16" s="1"/>
  <c r="L103" i="1"/>
  <c r="F35" i="16" s="1"/>
  <c r="L77" i="1"/>
  <c r="F9" i="16" s="1"/>
  <c r="H57" i="1"/>
  <c r="K57" i="1" s="1"/>
  <c r="H15" i="1"/>
  <c r="M96" i="1"/>
  <c r="L107" i="1"/>
  <c r="F39" i="16" s="1"/>
  <c r="M89" i="1"/>
  <c r="L82" i="1"/>
  <c r="F14" i="16" s="1"/>
  <c r="M100" i="1"/>
  <c r="L105" i="1"/>
  <c r="F37" i="16" s="1"/>
  <c r="L91" i="1"/>
  <c r="F23" i="16" s="1"/>
  <c r="M99" i="1"/>
  <c r="L80" i="1"/>
  <c r="F12" i="16" s="1"/>
  <c r="M86" i="1"/>
  <c r="L86" i="1"/>
  <c r="F18" i="16" s="1"/>
  <c r="L97" i="1"/>
  <c r="F29" i="16" s="1"/>
  <c r="L78" i="1"/>
  <c r="F10" i="16" s="1"/>
  <c r="L81" i="1"/>
  <c r="F13" i="16" s="1"/>
  <c r="L93" i="1"/>
  <c r="F25" i="16" s="1"/>
  <c r="L88" i="1"/>
  <c r="F20" i="16" s="1"/>
  <c r="M88" i="1"/>
  <c r="G62" i="1"/>
  <c r="G61" i="1"/>
  <c r="L102" i="1"/>
  <c r="F34" i="16" s="1"/>
  <c r="M102" i="1"/>
  <c r="S25" i="2"/>
  <c r="L113" i="1" l="1"/>
  <c r="M113" i="1"/>
  <c r="M23" i="1"/>
  <c r="C19" i="16"/>
  <c r="K19" i="16" s="1"/>
  <c r="M30" i="1"/>
  <c r="C26" i="16"/>
  <c r="K26" i="16" s="1"/>
  <c r="M16" i="1"/>
  <c r="C12" i="16"/>
  <c r="K12" i="16" s="1"/>
  <c r="L109" i="1"/>
  <c r="F41" i="16" s="1"/>
  <c r="E41" i="16"/>
  <c r="L110" i="1"/>
  <c r="F42" i="16" s="1"/>
  <c r="E42" i="16"/>
  <c r="M175" i="1"/>
  <c r="G43" i="16"/>
  <c r="K177" i="1"/>
  <c r="L51" i="1"/>
  <c r="M51" i="1"/>
  <c r="C259" i="1"/>
  <c r="D259" i="1" s="1"/>
  <c r="U27" i="2"/>
  <c r="I36" i="16"/>
  <c r="S24" i="2"/>
  <c r="C24" i="16"/>
  <c r="K24" i="16" s="1"/>
  <c r="L31" i="1"/>
  <c r="D27" i="16" s="1"/>
  <c r="L27" i="16" s="1"/>
  <c r="C27" i="16"/>
  <c r="K27" i="16" s="1"/>
  <c r="M22" i="1"/>
  <c r="C18" i="16"/>
  <c r="K18" i="16" s="1"/>
  <c r="M111" i="1"/>
  <c r="E43" i="16"/>
  <c r="K43" i="16" s="1"/>
  <c r="M112" i="1"/>
  <c r="E44" i="16"/>
  <c r="K44" i="16" s="1"/>
  <c r="L104" i="1"/>
  <c r="F36" i="16" s="1"/>
  <c r="E36" i="16"/>
  <c r="K11" i="1"/>
  <c r="C7" i="16" s="1"/>
  <c r="K7" i="16" s="1"/>
  <c r="I49" i="1"/>
  <c r="K49" i="1" s="1"/>
  <c r="L173" i="1"/>
  <c r="H41" i="16" s="1"/>
  <c r="G41" i="16"/>
  <c r="M171" i="1"/>
  <c r="G39" i="16"/>
  <c r="K39" i="16" s="1"/>
  <c r="L169" i="1"/>
  <c r="H37" i="16" s="1"/>
  <c r="G37" i="16"/>
  <c r="K37" i="16" s="1"/>
  <c r="M176" i="1"/>
  <c r="G44" i="16"/>
  <c r="K27" i="1"/>
  <c r="C23" i="16" s="1"/>
  <c r="K23" i="16" s="1"/>
  <c r="K19" i="1"/>
  <c r="C15" i="16" s="1"/>
  <c r="K15" i="16" s="1"/>
  <c r="C258" i="1"/>
  <c r="D258" i="1" s="1"/>
  <c r="K15" i="1"/>
  <c r="C11" i="16" s="1"/>
  <c r="K11" i="16" s="1"/>
  <c r="K25" i="1"/>
  <c r="K17" i="1"/>
  <c r="C13" i="16" s="1"/>
  <c r="K13" i="16" s="1"/>
  <c r="K32" i="1"/>
  <c r="C28" i="16" s="1"/>
  <c r="K28" i="16" s="1"/>
  <c r="L48" i="1"/>
  <c r="D44" i="16" s="1"/>
  <c r="L176" i="1"/>
  <c r="H44" i="16" s="1"/>
  <c r="L171" i="1"/>
  <c r="H39" i="16" s="1"/>
  <c r="K26" i="1"/>
  <c r="C22" i="16" s="1"/>
  <c r="K22" i="16" s="1"/>
  <c r="K12" i="1"/>
  <c r="K36" i="1"/>
  <c r="K46" i="1"/>
  <c r="C42" i="16" s="1"/>
  <c r="K42" i="16" s="1"/>
  <c r="K45" i="1"/>
  <c r="K40" i="1"/>
  <c r="K13" i="1"/>
  <c r="L168" i="1"/>
  <c r="H36" i="16" s="1"/>
  <c r="M173" i="1"/>
  <c r="K20" i="1"/>
  <c r="M168" i="1"/>
  <c r="K35" i="1"/>
  <c r="C31" i="16" s="1"/>
  <c r="K31" i="16" s="1"/>
  <c r="K18" i="1"/>
  <c r="C14" i="16" s="1"/>
  <c r="K14" i="16" s="1"/>
  <c r="K29" i="1"/>
  <c r="K33" i="1"/>
  <c r="U25" i="2"/>
  <c r="K54" i="1"/>
  <c r="M54" i="1" s="1"/>
  <c r="M60" i="1"/>
  <c r="K58" i="1"/>
  <c r="U26" i="2"/>
  <c r="S29" i="2"/>
  <c r="L178" i="1"/>
  <c r="M114" i="1"/>
  <c r="J241" i="1"/>
  <c r="H189" i="1"/>
  <c r="K189" i="1" s="1"/>
  <c r="L189" i="1" s="1"/>
  <c r="H190" i="1"/>
  <c r="L188" i="1"/>
  <c r="M188" i="1"/>
  <c r="L75" i="1"/>
  <c r="F7" i="16" s="1"/>
  <c r="L22" i="1"/>
  <c r="D18" i="16" s="1"/>
  <c r="L18" i="16" s="1"/>
  <c r="L28" i="1"/>
  <c r="D24" i="16" s="1"/>
  <c r="M28" i="1"/>
  <c r="T24" i="2" s="1"/>
  <c r="L23" i="1"/>
  <c r="D19" i="16" s="1"/>
  <c r="L19" i="16" s="1"/>
  <c r="L30" i="1"/>
  <c r="D26" i="16" s="1"/>
  <c r="L26" i="16" s="1"/>
  <c r="L16" i="1"/>
  <c r="D12" i="16" s="1"/>
  <c r="L12" i="16" s="1"/>
  <c r="M31" i="1"/>
  <c r="K24" i="2"/>
  <c r="K29" i="2" s="1"/>
  <c r="M47" i="1"/>
  <c r="J231" i="1"/>
  <c r="J36" i="16" s="1"/>
  <c r="K231" i="1"/>
  <c r="S22" i="2"/>
  <c r="M84" i="1"/>
  <c r="L84" i="1"/>
  <c r="F16" i="16" s="1"/>
  <c r="D24" i="2"/>
  <c r="M34" i="1"/>
  <c r="L34" i="1"/>
  <c r="D30" i="16" s="1"/>
  <c r="L30" i="16" s="1"/>
  <c r="M14" i="1"/>
  <c r="M27" i="1"/>
  <c r="P10" i="2"/>
  <c r="G55" i="6"/>
  <c r="L41" i="1"/>
  <c r="D37" i="16" s="1"/>
  <c r="L37" i="16" s="1"/>
  <c r="L43" i="1"/>
  <c r="D39" i="16" s="1"/>
  <c r="L39" i="16" s="1"/>
  <c r="M44" i="1"/>
  <c r="M46" i="1"/>
  <c r="M32" i="1"/>
  <c r="M42" i="1"/>
  <c r="L15" i="1"/>
  <c r="D11" i="16" s="1"/>
  <c r="L11" i="16" s="1"/>
  <c r="M19" i="1"/>
  <c r="E24" i="2"/>
  <c r="L24" i="1"/>
  <c r="D20" i="16" s="1"/>
  <c r="L20" i="16" s="1"/>
  <c r="O24" i="2"/>
  <c r="L21" i="1"/>
  <c r="D17" i="16" s="1"/>
  <c r="M35" i="1"/>
  <c r="M26" i="1"/>
  <c r="M17" i="1"/>
  <c r="M104" i="1"/>
  <c r="M77" i="1"/>
  <c r="L83" i="1"/>
  <c r="F15" i="16" s="1"/>
  <c r="L108" i="1"/>
  <c r="F40" i="16" s="1"/>
  <c r="L76" i="1"/>
  <c r="F8" i="16" s="1"/>
  <c r="L112" i="1"/>
  <c r="F44" i="16" s="1"/>
  <c r="L38" i="1"/>
  <c r="D34" i="16" s="1"/>
  <c r="L34" i="16" s="1"/>
  <c r="L85" i="1"/>
  <c r="F17" i="16" s="1"/>
  <c r="L90" i="1"/>
  <c r="F22" i="16" s="1"/>
  <c r="M79" i="1"/>
  <c r="M105" i="1"/>
  <c r="M91" i="1"/>
  <c r="M109" i="1"/>
  <c r="M97" i="1"/>
  <c r="H62" i="1"/>
  <c r="K62" i="1" s="1"/>
  <c r="H61" i="1"/>
  <c r="K61" i="1" s="1"/>
  <c r="M75" i="1"/>
  <c r="L89" i="1"/>
  <c r="F21" i="16" s="1"/>
  <c r="L111" i="1"/>
  <c r="F43" i="16" s="1"/>
  <c r="M110" i="1"/>
  <c r="M107" i="1"/>
  <c r="L96" i="1"/>
  <c r="F28" i="16" s="1"/>
  <c r="M82" i="1"/>
  <c r="M93" i="1"/>
  <c r="M78" i="1"/>
  <c r="L99" i="1"/>
  <c r="F31" i="16" s="1"/>
  <c r="M81" i="1"/>
  <c r="L92" i="1"/>
  <c r="F24" i="16" s="1"/>
  <c r="M92" i="1"/>
  <c r="T25" i="2" s="1"/>
  <c r="M106" i="1"/>
  <c r="L106" i="1"/>
  <c r="F38" i="16" s="1"/>
  <c r="M49" i="1" l="1"/>
  <c r="L49" i="1"/>
  <c r="M29" i="1"/>
  <c r="C25" i="16"/>
  <c r="K25" i="16" s="1"/>
  <c r="L20" i="1"/>
  <c r="D16" i="16" s="1"/>
  <c r="L16" i="16" s="1"/>
  <c r="C16" i="16"/>
  <c r="K16" i="16" s="1"/>
  <c r="L40" i="1"/>
  <c r="D36" i="16" s="1"/>
  <c r="L36" i="16" s="1"/>
  <c r="C36" i="16"/>
  <c r="K36" i="16" s="1"/>
  <c r="L12" i="1"/>
  <c r="D8" i="16" s="1"/>
  <c r="L8" i="16" s="1"/>
  <c r="C8" i="16"/>
  <c r="K8" i="16" s="1"/>
  <c r="L44" i="16"/>
  <c r="L17" i="16"/>
  <c r="L24" i="16"/>
  <c r="M33" i="1"/>
  <c r="C29" i="16"/>
  <c r="K29" i="16" s="1"/>
  <c r="L13" i="1"/>
  <c r="D9" i="16" s="1"/>
  <c r="L9" i="16" s="1"/>
  <c r="C9" i="16"/>
  <c r="K9" i="16" s="1"/>
  <c r="M45" i="1"/>
  <c r="C41" i="16"/>
  <c r="K41" i="16" s="1"/>
  <c r="L36" i="1"/>
  <c r="D32" i="16" s="1"/>
  <c r="L32" i="16" s="1"/>
  <c r="C32" i="16"/>
  <c r="K32" i="16" s="1"/>
  <c r="L25" i="1"/>
  <c r="D21" i="16" s="1"/>
  <c r="L21" i="16" s="1"/>
  <c r="C21" i="16"/>
  <c r="K21" i="16" s="1"/>
  <c r="M177" i="1"/>
  <c r="L177" i="1"/>
  <c r="L58" i="1"/>
  <c r="C257" i="1"/>
  <c r="M12" i="1"/>
  <c r="V26" i="2"/>
  <c r="K190" i="1"/>
  <c r="Q26" i="2" s="1"/>
  <c r="L18" i="1"/>
  <c r="D14" i="16" s="1"/>
  <c r="L14" i="16" s="1"/>
  <c r="S28" i="2"/>
  <c r="U24" i="2"/>
  <c r="U29" i="2" s="1"/>
  <c r="T29" i="2"/>
  <c r="M62" i="1"/>
  <c r="L62" i="1"/>
  <c r="M61" i="1"/>
  <c r="L61" i="1"/>
  <c r="V27" i="2"/>
  <c r="M187" i="1"/>
  <c r="L187" i="1"/>
  <c r="M189" i="1"/>
  <c r="V25" i="2"/>
  <c r="I22" i="2"/>
  <c r="U22" i="2"/>
  <c r="L39" i="1"/>
  <c r="D35" i="16" s="1"/>
  <c r="L35" i="16" s="1"/>
  <c r="L55" i="1"/>
  <c r="M55" i="1"/>
  <c r="L24" i="2" s="1"/>
  <c r="L29" i="2" s="1"/>
  <c r="L47" i="1"/>
  <c r="D43" i="16" s="1"/>
  <c r="L43" i="16" s="1"/>
  <c r="J24" i="2"/>
  <c r="J29" i="2" s="1"/>
  <c r="I24" i="2"/>
  <c r="I29" i="2" s="1"/>
  <c r="L22" i="2"/>
  <c r="Q22" i="2"/>
  <c r="K22" i="2"/>
  <c r="K28" i="2" s="1"/>
  <c r="M58" i="1"/>
  <c r="M37" i="1"/>
  <c r="L37" i="1"/>
  <c r="D33" i="16" s="1"/>
  <c r="L33" i="16" s="1"/>
  <c r="M57" i="1"/>
  <c r="N24" i="2" s="1"/>
  <c r="N29" i="2" s="1"/>
  <c r="M24" i="2"/>
  <c r="M29" i="2" s="1"/>
  <c r="M28" i="2" s="1"/>
  <c r="L60" i="1"/>
  <c r="M18" i="1"/>
  <c r="C24" i="2"/>
  <c r="L14" i="1"/>
  <c r="D10" i="16" s="1"/>
  <c r="L10" i="16" s="1"/>
  <c r="M59" i="1"/>
  <c r="Q24" i="2"/>
  <c r="L27" i="1"/>
  <c r="D23" i="16" s="1"/>
  <c r="L23" i="16" s="1"/>
  <c r="L33" i="1"/>
  <c r="D29" i="16" s="1"/>
  <c r="L29" i="16" s="1"/>
  <c r="M41" i="1"/>
  <c r="L32" i="1"/>
  <c r="D28" i="16" s="1"/>
  <c r="L28" i="16" s="1"/>
  <c r="L44" i="1"/>
  <c r="D40" i="16" s="1"/>
  <c r="L40" i="16" s="1"/>
  <c r="L54" i="1"/>
  <c r="L57" i="1"/>
  <c r="L19" i="1"/>
  <c r="D15" i="16" s="1"/>
  <c r="L15" i="16" s="1"/>
  <c r="L42" i="1"/>
  <c r="D38" i="16" s="1"/>
  <c r="L38" i="16" s="1"/>
  <c r="M15" i="1"/>
  <c r="M43" i="1"/>
  <c r="L17" i="1"/>
  <c r="D13" i="16" s="1"/>
  <c r="L13" i="16" s="1"/>
  <c r="L46" i="1"/>
  <c r="D42" i="16" s="1"/>
  <c r="L42" i="16" s="1"/>
  <c r="M52" i="1"/>
  <c r="F24" i="2" s="1"/>
  <c r="M50" i="1"/>
  <c r="L52" i="1"/>
  <c r="M39" i="1"/>
  <c r="M24" i="1"/>
  <c r="L45" i="1"/>
  <c r="D41" i="16" s="1"/>
  <c r="L41" i="16" s="1"/>
  <c r="L59" i="1"/>
  <c r="M36" i="1"/>
  <c r="M21" i="1"/>
  <c r="L35" i="1"/>
  <c r="D31" i="16" s="1"/>
  <c r="L31" i="16" s="1"/>
  <c r="M56" i="1"/>
  <c r="P24" i="2" s="1"/>
  <c r="L26" i="1"/>
  <c r="D22" i="16" s="1"/>
  <c r="L22" i="16" s="1"/>
  <c r="L11" i="1"/>
  <c r="D7" i="16" s="1"/>
  <c r="L7" i="16" s="1"/>
  <c r="L29" i="1"/>
  <c r="D25" i="16" s="1"/>
  <c r="L25" i="16" s="1"/>
  <c r="M38" i="1"/>
  <c r="M53" i="1"/>
  <c r="H24" i="2" s="1"/>
  <c r="G24" i="2"/>
  <c r="M48" i="1"/>
  <c r="M40" i="1"/>
  <c r="M13" i="1"/>
  <c r="L53" i="1"/>
  <c r="M20" i="1"/>
  <c r="M25" i="1"/>
  <c r="L56" i="1"/>
  <c r="M11" i="1"/>
  <c r="I28" i="2" l="1"/>
  <c r="C261" i="1"/>
  <c r="C260" i="1"/>
  <c r="D257" i="1"/>
  <c r="L190" i="1"/>
  <c r="U28" i="2"/>
  <c r="M190" i="1"/>
  <c r="R26" i="2" s="1"/>
  <c r="Q29" i="2"/>
  <c r="Q28" i="2" s="1"/>
  <c r="J28" i="2"/>
  <c r="L28" i="2"/>
  <c r="N22" i="2"/>
  <c r="N28" i="2" s="1"/>
  <c r="V24" i="2"/>
  <c r="T22" i="2"/>
  <c r="T28" i="2" s="1"/>
  <c r="R22" i="2"/>
  <c r="R24" i="2"/>
  <c r="V29" i="2" l="1"/>
  <c r="V28" i="2" s="1"/>
  <c r="D261" i="1"/>
  <c r="D260" i="1"/>
  <c r="R29" i="2"/>
  <c r="R28" i="2" s="1"/>
  <c r="D8" i="3"/>
  <c r="F8" i="3" s="1"/>
  <c r="H8" i="3" s="1"/>
  <c r="I8" i="3" s="1"/>
  <c r="D19" i="2" s="1"/>
  <c r="B9" i="3"/>
  <c r="D9" i="3"/>
  <c r="F9" i="3" s="1"/>
  <c r="H9" i="3" s="1"/>
  <c r="B10" i="3"/>
  <c r="D10" i="3" s="1"/>
  <c r="F10" i="3" s="1"/>
  <c r="H10" i="3" s="1"/>
  <c r="F11" i="3"/>
  <c r="H11" i="3" s="1"/>
  <c r="O19" i="2" s="1"/>
  <c r="D20" i="3"/>
  <c r="F20" i="3" s="1"/>
  <c r="H20" i="3" s="1"/>
  <c r="I20" i="3" s="1"/>
  <c r="D20" i="2" s="1"/>
  <c r="B21" i="3"/>
  <c r="D21" i="3"/>
  <c r="F21" i="3" s="1"/>
  <c r="H21" i="3" s="1"/>
  <c r="B22" i="3"/>
  <c r="D22" i="3"/>
  <c r="F22" i="3" s="1"/>
  <c r="H22" i="3" s="1"/>
  <c r="F23" i="3"/>
  <c r="H23" i="3" s="1"/>
  <c r="O20" i="2" s="1"/>
  <c r="I23" i="3"/>
  <c r="P20" i="2" s="1"/>
  <c r="B32" i="3"/>
  <c r="E45" i="3"/>
  <c r="F45" i="3" s="1"/>
  <c r="G45" i="3" s="1"/>
  <c r="E13" i="5"/>
  <c r="F13" i="5" s="1"/>
  <c r="D14" i="5"/>
  <c r="E14" i="5" s="1"/>
  <c r="F14" i="5" s="1"/>
  <c r="D15" i="5"/>
  <c r="E15" i="5" s="1"/>
  <c r="F15" i="5" s="1"/>
  <c r="E28" i="5"/>
  <c r="F28" i="5" s="1"/>
  <c r="D29" i="5"/>
  <c r="E29" i="5" s="1"/>
  <c r="F29" i="5" s="1"/>
  <c r="D30" i="5"/>
  <c r="B36" i="5"/>
  <c r="D36" i="5" s="1"/>
  <c r="F36" i="5" s="1"/>
  <c r="D37" i="5"/>
  <c r="F37" i="5" s="1"/>
  <c r="B38" i="5"/>
  <c r="D38" i="5" s="1"/>
  <c r="F38" i="5" s="1"/>
  <c r="F9" i="6"/>
  <c r="G9" i="6" s="1"/>
  <c r="F10" i="6"/>
  <c r="F11" i="6"/>
  <c r="G11" i="6" s="1"/>
  <c r="D20" i="6"/>
  <c r="F20" i="6" s="1"/>
  <c r="H20" i="6" s="1"/>
  <c r="B21" i="6"/>
  <c r="D21" i="6" s="1"/>
  <c r="F21" i="6" s="1"/>
  <c r="H21" i="6" s="1"/>
  <c r="I21" i="6" s="1"/>
  <c r="B22" i="6"/>
  <c r="D22" i="6" s="1"/>
  <c r="F22" i="6" s="1"/>
  <c r="H22" i="6" s="1"/>
  <c r="F32" i="6"/>
  <c r="H32" i="6" s="1"/>
  <c r="I32" i="6" s="1"/>
  <c r="F33" i="6"/>
  <c r="H33" i="6" s="1"/>
  <c r="I33" i="6" s="1"/>
  <c r="F34" i="6"/>
  <c r="H34" i="6" s="1"/>
  <c r="I34" i="6" s="1"/>
  <c r="B42" i="6"/>
  <c r="D42" i="6" s="1"/>
  <c r="F42" i="6" s="1"/>
  <c r="H42" i="6" s="1"/>
  <c r="I42" i="6" s="1"/>
  <c r="F9" i="7"/>
  <c r="K9" i="7" s="1"/>
  <c r="I9" i="7"/>
  <c r="J9" i="7"/>
  <c r="M9" i="7"/>
  <c r="C11" i="2" s="1"/>
  <c r="F10" i="7"/>
  <c r="I10" i="7"/>
  <c r="J10" i="7" s="1"/>
  <c r="M10" i="7"/>
  <c r="E11" i="2" s="1"/>
  <c r="N10" i="7"/>
  <c r="F11" i="2" s="1"/>
  <c r="F11" i="7"/>
  <c r="K11" i="7" s="1"/>
  <c r="I11" i="7"/>
  <c r="J11" i="7"/>
  <c r="M11" i="7"/>
  <c r="G11" i="2" s="1"/>
  <c r="F9" i="9"/>
  <c r="I9" i="9"/>
  <c r="J9" i="9" s="1"/>
  <c r="M9" i="9"/>
  <c r="C13" i="2" s="1"/>
  <c r="F10" i="9"/>
  <c r="I10" i="9"/>
  <c r="J10" i="9" s="1"/>
  <c r="K10" i="9"/>
  <c r="M10" i="9"/>
  <c r="E13" i="2"/>
  <c r="N10" i="9"/>
  <c r="F13" i="2"/>
  <c r="F11" i="9"/>
  <c r="I11" i="9"/>
  <c r="J11" i="9" s="1"/>
  <c r="M11" i="9"/>
  <c r="G13" i="2" s="1"/>
  <c r="F20" i="9"/>
  <c r="I20" i="9"/>
  <c r="J20" i="9" s="1"/>
  <c r="K20" i="9"/>
  <c r="M20" i="9"/>
  <c r="C14" i="2"/>
  <c r="N20" i="9"/>
  <c r="D14" i="2"/>
  <c r="F21" i="9"/>
  <c r="I21" i="9"/>
  <c r="J21" i="9" s="1"/>
  <c r="M21" i="9"/>
  <c r="E14" i="2" s="1"/>
  <c r="F22" i="9"/>
  <c r="I22" i="9"/>
  <c r="J22" i="9" s="1"/>
  <c r="K22" i="9"/>
  <c r="M22" i="9"/>
  <c r="G14" i="2"/>
  <c r="N22" i="9"/>
  <c r="H14" i="2"/>
  <c r="B9" i="10"/>
  <c r="D9" i="10"/>
  <c r="F9" i="10" s="1"/>
  <c r="H9" i="10" s="1"/>
  <c r="B10" i="10"/>
  <c r="D10" i="10"/>
  <c r="F10" i="10" s="1"/>
  <c r="H10" i="10" s="1"/>
  <c r="B11" i="10"/>
  <c r="D11" i="10"/>
  <c r="F11" i="10" s="1"/>
  <c r="H11" i="10" s="1"/>
  <c r="D19" i="10"/>
  <c r="F19" i="10"/>
  <c r="H19" i="10" s="1"/>
  <c r="B20" i="10"/>
  <c r="D20" i="10" s="1"/>
  <c r="F20" i="10" s="1"/>
  <c r="H20" i="10" s="1"/>
  <c r="B21" i="10"/>
  <c r="D21" i="10" s="1"/>
  <c r="F21" i="10" s="1"/>
  <c r="H21" i="10" s="1"/>
  <c r="D31" i="10"/>
  <c r="F31" i="10" s="1"/>
  <c r="H31" i="10" s="1"/>
  <c r="B32" i="10"/>
  <c r="D32" i="10"/>
  <c r="F32" i="10" s="1"/>
  <c r="H32" i="10" s="1"/>
  <c r="I32" i="10" s="1"/>
  <c r="B33" i="10"/>
  <c r="D33" i="10"/>
  <c r="F33" i="10" s="1"/>
  <c r="H33" i="10" s="1"/>
  <c r="F9" i="11"/>
  <c r="I9" i="11"/>
  <c r="J9" i="11" s="1"/>
  <c r="M9" i="11"/>
  <c r="C18" i="2" s="1"/>
  <c r="N9" i="11"/>
  <c r="D18" i="2" s="1"/>
  <c r="F10" i="11"/>
  <c r="K10" i="11" s="1"/>
  <c r="I10" i="11"/>
  <c r="J10" i="11"/>
  <c r="M10" i="11"/>
  <c r="E18" i="2" s="1"/>
  <c r="F11" i="11"/>
  <c r="I11" i="11"/>
  <c r="J11" i="11" s="1"/>
  <c r="M11" i="11"/>
  <c r="G18" i="2" s="1"/>
  <c r="N11" i="11"/>
  <c r="H18" i="2" s="1"/>
  <c r="K9" i="11"/>
  <c r="K21" i="9"/>
  <c r="K11" i="9"/>
  <c r="K9" i="9"/>
  <c r="K10" i="7"/>
  <c r="D32" i="3"/>
  <c r="F32" i="3"/>
  <c r="H32" i="3" s="1"/>
  <c r="I32" i="3" s="1"/>
  <c r="D21" i="2" s="1"/>
  <c r="B33" i="3"/>
  <c r="D33" i="3" s="1"/>
  <c r="F33" i="3" s="1"/>
  <c r="H33" i="3" s="1"/>
  <c r="C20" i="2"/>
  <c r="C19" i="2"/>
  <c r="B34" i="3"/>
  <c r="D34" i="3"/>
  <c r="F34" i="3" s="1"/>
  <c r="H34" i="3"/>
  <c r="I34" i="3" s="1"/>
  <c r="H21" i="2" s="1"/>
  <c r="I33" i="3"/>
  <c r="F21" i="2" s="1"/>
  <c r="E21" i="2"/>
  <c r="C21" i="2"/>
  <c r="I11" i="10" l="1"/>
  <c r="H15" i="2" s="1"/>
  <c r="G15" i="2"/>
  <c r="G21" i="2"/>
  <c r="E16" i="2"/>
  <c r="I20" i="10"/>
  <c r="F16" i="2" s="1"/>
  <c r="E25" i="2"/>
  <c r="E9" i="2"/>
  <c r="G37" i="5"/>
  <c r="I22" i="3"/>
  <c r="H20" i="2" s="1"/>
  <c r="G20" i="2"/>
  <c r="I21" i="3"/>
  <c r="F20" i="2" s="1"/>
  <c r="E20" i="2"/>
  <c r="G19" i="2"/>
  <c r="E44" i="3"/>
  <c r="F44" i="3" s="1"/>
  <c r="G44" i="3" s="1"/>
  <c r="I10" i="3"/>
  <c r="H19" i="2" s="1"/>
  <c r="E42" i="3"/>
  <c r="F42" i="3" s="1"/>
  <c r="G42" i="3" s="1"/>
  <c r="G16" i="2"/>
  <c r="I21" i="10"/>
  <c r="H16" i="2" s="1"/>
  <c r="C16" i="2"/>
  <c r="I19" i="10"/>
  <c r="D16" i="2" s="1"/>
  <c r="I10" i="10"/>
  <c r="F15" i="2" s="1"/>
  <c r="E15" i="2"/>
  <c r="I9" i="10"/>
  <c r="D15" i="2" s="1"/>
  <c r="C15" i="2"/>
  <c r="G25" i="2"/>
  <c r="G9" i="2"/>
  <c r="G38" i="5"/>
  <c r="C25" i="2"/>
  <c r="C9" i="2"/>
  <c r="E19" i="2"/>
  <c r="I9" i="3"/>
  <c r="F19" i="2" s="1"/>
  <c r="E43" i="3"/>
  <c r="F43" i="3" s="1"/>
  <c r="G43" i="3" s="1"/>
  <c r="K11" i="11"/>
  <c r="N10" i="11"/>
  <c r="F18" i="2" s="1"/>
  <c r="N21" i="9"/>
  <c r="F14" i="2" s="1"/>
  <c r="N11" i="9"/>
  <c r="H13" i="2" s="1"/>
  <c r="N9" i="9"/>
  <c r="D13" i="2" s="1"/>
  <c r="N11" i="7"/>
  <c r="H11" i="2" s="1"/>
  <c r="N9" i="7"/>
  <c r="D11" i="2" s="1"/>
  <c r="D49" i="5"/>
  <c r="E49" i="5" s="1"/>
  <c r="F49" i="5" s="1"/>
  <c r="I11" i="3"/>
  <c r="P19" i="2" s="1"/>
  <c r="O22" i="2"/>
  <c r="O29" i="2"/>
  <c r="D48" i="5"/>
  <c r="E48" i="5" s="1"/>
  <c r="F48" i="5" s="1"/>
  <c r="D47" i="5"/>
  <c r="E47" i="5" s="1"/>
  <c r="F47" i="5" s="1"/>
  <c r="G36" i="5"/>
  <c r="E30" i="5"/>
  <c r="F30" i="5" s="1"/>
  <c r="E45" i="10"/>
  <c r="F45" i="10" s="1"/>
  <c r="G45" i="10" s="1"/>
  <c r="G17" i="2"/>
  <c r="I33" i="10"/>
  <c r="H17" i="2" s="1"/>
  <c r="C17" i="2"/>
  <c r="E43" i="10"/>
  <c r="F43" i="10" s="1"/>
  <c r="G43" i="10" s="1"/>
  <c r="I31" i="10"/>
  <c r="D17" i="2" s="1"/>
  <c r="E17" i="2"/>
  <c r="E44" i="10"/>
  <c r="F44" i="10" s="1"/>
  <c r="G44" i="10" s="1"/>
  <c r="F17" i="2"/>
  <c r="I22" i="6"/>
  <c r="I20" i="6"/>
  <c r="E52" i="6"/>
  <c r="G10" i="6"/>
  <c r="B44" i="6"/>
  <c r="D44" i="6" s="1"/>
  <c r="F44" i="6" s="1"/>
  <c r="H44" i="6" s="1"/>
  <c r="I44" i="6" s="1"/>
  <c r="B43" i="6"/>
  <c r="D43" i="6" s="1"/>
  <c r="F43" i="6" s="1"/>
  <c r="H43" i="6" s="1"/>
  <c r="I43" i="6" s="1"/>
  <c r="D25" i="2" l="1"/>
  <c r="D9" i="2"/>
  <c r="F25" i="2"/>
  <c r="F9" i="2"/>
  <c r="O28" i="2"/>
  <c r="P22" i="2"/>
  <c r="P29" i="2"/>
  <c r="H25" i="2"/>
  <c r="H9" i="2"/>
  <c r="F52" i="6"/>
  <c r="C10" i="2"/>
  <c r="C29" i="2" s="1"/>
  <c r="E53" i="6"/>
  <c r="E54" i="6"/>
  <c r="P28" i="2" l="1"/>
  <c r="C22" i="2"/>
  <c r="C28" i="2" s="1"/>
  <c r="F54" i="6"/>
  <c r="G10" i="2"/>
  <c r="G29" i="2" s="1"/>
  <c r="G52" i="6"/>
  <c r="D10" i="2"/>
  <c r="D29" i="2" s="1"/>
  <c r="E10" i="2"/>
  <c r="E29" i="2" s="1"/>
  <c r="F53" i="6"/>
  <c r="D22" i="2" l="1"/>
  <c r="D28" i="2" s="1"/>
  <c r="E22" i="2"/>
  <c r="E28" i="2" s="1"/>
  <c r="G22" i="2"/>
  <c r="G28" i="2" s="1"/>
  <c r="G54" i="6"/>
  <c r="H10" i="2"/>
  <c r="H29" i="2" s="1"/>
  <c r="F10" i="2"/>
  <c r="F29" i="2" s="1"/>
  <c r="G53" i="6"/>
  <c r="H22" i="2" l="1"/>
  <c r="H28" i="2" s="1"/>
  <c r="F22" i="2"/>
  <c r="F28" i="2" s="1"/>
</calcChain>
</file>

<file path=xl/comments1.xml><?xml version="1.0" encoding="utf-8"?>
<comments xmlns="http://schemas.openxmlformats.org/spreadsheetml/2006/main">
  <authors>
    <author>khillbrandt</author>
  </authors>
  <commentList>
    <comment ref="C401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MPCA PTE did not include #2 fuel oil HAPs, only criteria pollutants
</t>
        </r>
      </text>
    </comment>
    <comment ref="K457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Was 38 in original document from GP.</t>
        </r>
      </text>
    </comment>
    <comment ref="C475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MPCA PTE does not include #2 fuel oil emission factors
</t>
        </r>
      </text>
    </comment>
    <comment ref="F475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MPCA PTE does not include used oil emission factors
</t>
        </r>
      </text>
    </comment>
    <comment ref="M528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M529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F535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Used Oil GHG EFs are for No. 6 oil, which are higher than No. 2 (distillate oil) EFs</t>
        </r>
      </text>
    </comment>
  </commentList>
</comments>
</file>

<file path=xl/sharedStrings.xml><?xml version="1.0" encoding="utf-8"?>
<sst xmlns="http://schemas.openxmlformats.org/spreadsheetml/2006/main" count="1856" uniqueCount="375">
  <si>
    <t>Total</t>
  </si>
  <si>
    <t>EU014</t>
  </si>
  <si>
    <t>EU013</t>
  </si>
  <si>
    <t>EU012</t>
  </si>
  <si>
    <t>EU011</t>
  </si>
  <si>
    <t>EU010</t>
  </si>
  <si>
    <t>EU009</t>
  </si>
  <si>
    <t>EU006</t>
  </si>
  <si>
    <t>EU005</t>
  </si>
  <si>
    <t>EU003</t>
  </si>
  <si>
    <t>EU002</t>
  </si>
  <si>
    <t>EU001</t>
  </si>
  <si>
    <t>-</t>
  </si>
  <si>
    <t>(tons/yr)</t>
  </si>
  <si>
    <t>(lb/hr)</t>
  </si>
  <si>
    <t>VOC</t>
  </si>
  <si>
    <r>
      <t>PM</t>
    </r>
    <r>
      <rPr>
        <b/>
        <vertAlign val="subscript"/>
        <sz val="10"/>
        <rFont val="Arial"/>
        <family val="2"/>
      </rPr>
      <t>2.5</t>
    </r>
  </si>
  <si>
    <r>
      <t>PM</t>
    </r>
    <r>
      <rPr>
        <b/>
        <vertAlign val="subscript"/>
        <sz val="10"/>
        <rFont val="Arial"/>
        <family val="2"/>
      </rPr>
      <t>10</t>
    </r>
  </si>
  <si>
    <t>PM</t>
  </si>
  <si>
    <t>Pollutant</t>
  </si>
  <si>
    <t>Sanimax</t>
  </si>
  <si>
    <t>(lbs/hr)</t>
  </si>
  <si>
    <t>Limited Potential</t>
  </si>
  <si>
    <t>Maximum Unlimited</t>
  </si>
  <si>
    <t>Process Emission     Rate</t>
  </si>
  <si>
    <t>Total Controlled PPF Process Emissions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</si>
  <si>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30203801 (Animal/Poultry Rendering - General:Uncontolled)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</si>
  <si>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30203801 (Animal/Poultry Rendering - General:Uncontolled)</t>
    </r>
  </si>
  <si>
    <r>
      <t>[1]</t>
    </r>
    <r>
      <rPr>
        <sz val="9"/>
        <rFont val="Arial"/>
        <family val="2"/>
      </rPr>
      <t>PM filterable emission factors taken from AP-42 Table 9.9.1-2 for "Hammermill - Cyclone Control" and assumes 80% cyclone control efficiency = 0.067/(1-0.8)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</si>
  <si>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vertAlign val="superscript"/>
        <sz val="10"/>
        <rFont val="Arial"/>
        <family val="2"/>
      </rPr>
      <t>[3]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</si>
  <si>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[2]</t>
    </r>
  </si>
  <si>
    <r>
      <t>PM</t>
    </r>
    <r>
      <rPr>
        <b/>
        <vertAlign val="superscript"/>
        <sz val="10"/>
        <rFont val="Arial"/>
        <family val="2"/>
      </rPr>
      <t>[1]</t>
    </r>
  </si>
  <si>
    <t>(%)</t>
  </si>
  <si>
    <t>Condensable</t>
  </si>
  <si>
    <t>Filterable</t>
  </si>
  <si>
    <t>Controlled Emission Rates</t>
  </si>
  <si>
    <t>Control Efficiency</t>
  </si>
  <si>
    <t>Uncontrolled Emission Rate</t>
  </si>
  <si>
    <t>Process Capacity</t>
  </si>
  <si>
    <t>Emission Factors (lb/ton)</t>
  </si>
  <si>
    <r>
      <t>[4]</t>
    </r>
    <r>
      <rPr>
        <sz val="9"/>
        <rFont val="Arial"/>
        <family val="2"/>
      </rPr>
      <t xml:space="preserve">VOC emission factor taken from AP-42 Table 9.13.3-3 for "Continuous Deep Fat Fryer - Other Snack Chips" </t>
    </r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</si>
  <si>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30203801 (Animal/Poultry Rendering - General:Uncontolled).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</si>
  <si>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30203801 (Animal/Poultry Rendering - General:Uncontolled).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</t>
    </r>
  </si>
  <si>
    <r>
      <t>[1]</t>
    </r>
    <r>
      <rPr>
        <sz val="9"/>
        <rFont val="Arial"/>
        <family val="2"/>
      </rPr>
      <t xml:space="preserve">PM filterable and condensable emission factors taken from AP-42 Table 9.13.3-2 for "Continuous Deep Fat Fryer - Other Snack Chips" </t>
    </r>
  </si>
  <si>
    <r>
      <t>VOC</t>
    </r>
    <r>
      <rPr>
        <b/>
        <vertAlign val="superscript"/>
        <sz val="10"/>
        <rFont val="Arial"/>
        <family val="2"/>
      </rPr>
      <t>[4]</t>
    </r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</si>
  <si>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</si>
  <si>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</t>
    </r>
  </si>
  <si>
    <t>(lb/1,000 gal)</t>
  </si>
  <si>
    <t>Emission Factor</t>
  </si>
  <si>
    <t>percent</t>
  </si>
  <si>
    <t>Sulfur Content:</t>
  </si>
  <si>
    <t>mmBTu/hr</t>
  </si>
  <si>
    <t>Rated Heat Input:</t>
  </si>
  <si>
    <t>Btu/gal</t>
  </si>
  <si>
    <t>Fuel Heat Value:</t>
  </si>
  <si>
    <t>Btu/lb</t>
  </si>
  <si>
    <t>Average Heating Value of Fuel:</t>
  </si>
  <si>
    <t>lb/gallon</t>
  </si>
  <si>
    <t>Average Density of Fuel:</t>
  </si>
  <si>
    <t>gallons/hr</t>
  </si>
  <si>
    <t>Rated Fuel Consumption:</t>
  </si>
  <si>
    <t>Emission factors taken from AP-42 Table 1.2-2</t>
  </si>
  <si>
    <t>(lb/mmscf)</t>
  </si>
  <si>
    <t>MMBtu/hr</t>
  </si>
  <si>
    <t>Btu/cf</t>
  </si>
  <si>
    <t>cf/hr</t>
  </si>
  <si>
    <t>Combustion Emissions: Fuel Type - Natural Gas</t>
  </si>
  <si>
    <r>
      <t>PM, PM</t>
    </r>
    <r>
      <rPr>
        <b/>
        <vertAlign val="subscript"/>
        <sz val="12"/>
        <rFont val="Arial"/>
        <family val="2"/>
      </rPr>
      <t>10</t>
    </r>
    <r>
      <rPr>
        <b/>
        <sz val="12"/>
        <rFont val="Arial"/>
        <family val="2"/>
      </rPr>
      <t xml:space="preserve"> and PM</t>
    </r>
    <r>
      <rPr>
        <b/>
        <vertAlign val="subscript"/>
        <sz val="12"/>
        <rFont val="Arial"/>
        <family val="2"/>
      </rPr>
      <t>2.5</t>
    </r>
    <r>
      <rPr>
        <b/>
        <sz val="12"/>
        <rFont val="Arial"/>
        <family val="2"/>
      </rPr>
      <t xml:space="preserve"> Emissions Calculations</t>
    </r>
  </si>
  <si>
    <t>Boiler No. 1 - EU001 (SV001)</t>
  </si>
  <si>
    <t>Total Blood Ring Dryer Emissions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</si>
  <si>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from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>/PM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ration of 30/85, taken from EPA PM calculator based on SCC code 30203801 (Animal/Poultry Rendering - General:Uncontolled).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factor.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</si>
  <si>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taken from AP-42 Table 9.5.3-2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</t>
    </r>
  </si>
  <si>
    <r>
      <t>[1]</t>
    </r>
    <r>
      <rPr>
        <sz val="9"/>
        <rFont val="Arial"/>
        <family val="2"/>
      </rPr>
      <t>PM filterable emission factor is calculated from PM/PM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ratio of 100/85 as no AP-42 factor is available.  PM condensable is taken from AP-42 Table 9.5.3-2</t>
    </r>
  </si>
  <si>
    <t>Process Emissions: Blood Drying</t>
  </si>
  <si>
    <t xml:space="preserve">Emission factors taken from AP-42 Table 1.3-6 </t>
  </si>
  <si>
    <t>Emission     Rate</t>
  </si>
  <si>
    <t>Combustion Emissions: Fuel Type - Distillate Fuel Oil (No. 2 distillate fuel oil)</t>
  </si>
  <si>
    <t>Blood/Ring Dryer - EU002 (SV002)</t>
  </si>
  <si>
    <t>Total Controlled PRF Emissions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</si>
  <si>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30203801 (Animal/Poultry Rendering - General:Uncontolled).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</si>
  <si>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30203801 (Animal/Poultry Rendering - General:Uncontolled).</t>
    </r>
  </si>
  <si>
    <t>Milling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</si>
  <si>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emissions factor is calculated as 100% of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as no AP-42 emission factor is available. 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</si>
  <si>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emission factor taken from AP-42 Table 11.12-2 "Pneumatic Unloading of Cement to Elevated Storage Silo"</t>
    </r>
  </si>
  <si>
    <r>
      <t>[1]</t>
    </r>
    <r>
      <rPr>
        <sz val="9"/>
        <rFont val="Arial"/>
        <family val="2"/>
      </rPr>
      <t>PM emission factor taken from AP-42 Table 11.12-2 "Pneumatic Unloading of Cement to Elevated Storage Silo"</t>
    </r>
  </si>
  <si>
    <t>Conveying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</si>
  <si>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factor.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</si>
  <si>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factor.</t>
    </r>
  </si>
  <si>
    <t>Cooking</t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</si>
  <si>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and PM</t>
    </r>
    <r>
      <rPr>
        <vertAlign val="subscript"/>
        <sz val="9"/>
        <rFont val="Arial"/>
        <family val="2"/>
      </rPr>
      <t>2.</t>
    </r>
    <r>
      <rPr>
        <sz val="9"/>
        <rFont val="Arial"/>
        <family val="2"/>
      </rPr>
      <t>5 emission factors assumed 100% of PM emission factor</t>
    </r>
  </si>
  <si>
    <r>
      <t>[1]</t>
    </r>
    <r>
      <rPr>
        <sz val="9"/>
        <rFont val="Arial"/>
        <family val="2"/>
      </rPr>
      <t>Performance test data showing 0.87 lb PM per ton of feathers processed (Braun Intertec Report: Central Bi-Products, Redwood Falls, Minnesota, June 1995)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</si>
  <si>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vertAlign val="superscript"/>
        <sz val="10"/>
        <rFont val="Arial"/>
        <family val="2"/>
      </rPr>
      <t>[2]</t>
    </r>
  </si>
  <si>
    <t>Drying</t>
  </si>
  <si>
    <t>Protein Recovery Facility (PRF) - EU003 (SV003)</t>
  </si>
  <si>
    <r>
      <t>[4]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emissions factor is calculated as 100% of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as no AP-42 emission factor is available. </t>
    </r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</si>
  <si>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emission factor taken from AP-42 Table 11.12-2 "Pneumatic Unloading of Cement to Elevated Storage Silo"</t>
    </r>
  </si>
  <si>
    <r>
      <t xml:space="preserve">[2] </t>
    </r>
    <r>
      <rPr>
        <sz val="9"/>
        <rFont val="Arial"/>
        <family val="2"/>
      </rPr>
      <t>PM emission factor taken from AP-42 Table 11.12-2 "Pneumatic Unloading of Cement to Elevated Storage Silo"</t>
    </r>
  </si>
  <si>
    <r>
      <t>[1]</t>
    </r>
    <r>
      <rPr>
        <sz val="9"/>
        <rFont val="Arial"/>
        <family val="2"/>
      </rPr>
      <t xml:space="preserve"> See attached emission statement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</si>
  <si>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vertAlign val="superscript"/>
        <sz val="10"/>
        <rFont val="Arial"/>
        <family val="2"/>
      </rPr>
      <t>[4]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</si>
  <si>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[3]</t>
    </r>
  </si>
  <si>
    <r>
      <t>PM</t>
    </r>
    <r>
      <rPr>
        <b/>
        <vertAlign val="superscript"/>
        <sz val="10"/>
        <rFont val="Arial"/>
        <family val="2"/>
      </rPr>
      <t>[2]</t>
    </r>
  </si>
  <si>
    <t>(gr/dscf)</t>
  </si>
  <si>
    <t>(dscfm)</t>
  </si>
  <si>
    <t>Requested Control Efficiency</t>
  </si>
  <si>
    <r>
      <t>Emission Factor</t>
    </r>
    <r>
      <rPr>
        <b/>
        <vertAlign val="superscript"/>
        <sz val="10"/>
        <rFont val="Arial"/>
        <family val="2"/>
      </rPr>
      <t>[1]</t>
    </r>
  </si>
  <si>
    <t>Air Flow</t>
  </si>
  <si>
    <t>Blood Pneumatic Conveying System - EU005 (SV005)</t>
  </si>
  <si>
    <t>Boiler No. 2 - EU006 (SV006)</t>
  </si>
  <si>
    <t>Silo EU010 (SV010)</t>
  </si>
  <si>
    <t>Silo EU009 (SV009)</t>
  </si>
  <si>
    <t>Total Controlled Cooking Process Emissions</t>
  </si>
  <si>
    <t>Cooker No. 2 - EU013</t>
  </si>
  <si>
    <t>Cooker No. 1 - EU012</t>
  </si>
  <si>
    <t>Milling Process - EU011</t>
  </si>
  <si>
    <t>Cooking Process - EU011, EU012 and EU013 (SV012)</t>
  </si>
  <si>
    <t>Feather Pneumatic Conveying System - EU014 (SV014)</t>
  </si>
  <si>
    <t>All Emission Factors from AP-42, unless otherwise noted.</t>
  </si>
  <si>
    <t>Capacity:</t>
  </si>
  <si>
    <t>#6 Fuel Oil:</t>
  </si>
  <si>
    <t>1000 gal/hr</t>
  </si>
  <si>
    <t>#6 Fuel Oil Heating Value:</t>
  </si>
  <si>
    <t>MMBtu/gal</t>
  </si>
  <si>
    <t>#2 Fuel Oil:</t>
  </si>
  <si>
    <t>#2 Fuel Oil Heating Value:</t>
  </si>
  <si>
    <t>Natural Gas:</t>
  </si>
  <si>
    <t>MMcf/hr</t>
  </si>
  <si>
    <t>Natural Gas Heating Value:</t>
  </si>
  <si>
    <t>MMBtu/cf</t>
  </si>
  <si>
    <t xml:space="preserve">Item </t>
  </si>
  <si>
    <t>Natural Gas Emission Factor (lb/MMcf)</t>
  </si>
  <si>
    <t>#2 Oil Emission Factor (lb/1000 gal)</t>
  </si>
  <si>
    <t>#6 Oil Emission Factor  (lb/1000 gal)</t>
  </si>
  <si>
    <t>Natural Gas Hourly Potential (lb/hr)</t>
  </si>
  <si>
    <t xml:space="preserve">#2 Oil Hourly Potential (lb/hr) </t>
  </si>
  <si>
    <t xml:space="preserve">#6 Oil Hourly Potential (lb/hr) </t>
  </si>
  <si>
    <t>Worst Case Emissions (lb/hr)</t>
  </si>
  <si>
    <t>Unrestricted Potential (tpy)</t>
  </si>
  <si>
    <t>Limited Potential (tpy)</t>
  </si>
  <si>
    <t>Hexane - Limited Potential (tpy)</t>
  </si>
  <si>
    <t>Acenaphthene</t>
  </si>
  <si>
    <t>Acenaphthylene</t>
  </si>
  <si>
    <t>Anthracene</t>
  </si>
  <si>
    <t>Benz(a)anthracene</t>
  </si>
  <si>
    <t>Benzene</t>
  </si>
  <si>
    <t>Benzo(a)pyrene</t>
  </si>
  <si>
    <t>Benzo(b)fluoranthene</t>
  </si>
  <si>
    <t>Benzo(g,h,i)perylene</t>
  </si>
  <si>
    <t>Benzo(k)fluoranthene</t>
  </si>
  <si>
    <t>Chrysene</t>
  </si>
  <si>
    <t>Dibenzo(a,h)anthracene</t>
  </si>
  <si>
    <t>Dichlorobenzene</t>
  </si>
  <si>
    <t>Ethylbenzene</t>
  </si>
  <si>
    <t>Fluoranthene</t>
  </si>
  <si>
    <t>Fluorene</t>
  </si>
  <si>
    <t>Formaldehyde</t>
  </si>
  <si>
    <t>Hexane</t>
  </si>
  <si>
    <t>Indendo(1,2,3-cd)pyrene</t>
  </si>
  <si>
    <t>Naphthalene</t>
  </si>
  <si>
    <t>Phenanthrene</t>
  </si>
  <si>
    <t>Pyrene</t>
  </si>
  <si>
    <t>Toluene</t>
  </si>
  <si>
    <t>Xylenes</t>
  </si>
  <si>
    <t>Antimony compounds</t>
  </si>
  <si>
    <t>Arsenic compounds</t>
  </si>
  <si>
    <t>Beryllium compounds</t>
  </si>
  <si>
    <t>Cadmium compounds</t>
  </si>
  <si>
    <t>Chromium compounds</t>
  </si>
  <si>
    <t>Cobalt compounds</t>
  </si>
  <si>
    <t>Manganese compounds</t>
  </si>
  <si>
    <t>Mercury compounds</t>
  </si>
  <si>
    <t>Nickel compounds</t>
  </si>
  <si>
    <t>Selenium compounds</t>
  </si>
  <si>
    <t>HAPs</t>
  </si>
  <si>
    <t>Lead</t>
  </si>
  <si>
    <t>Total PM</t>
  </si>
  <si>
    <t>PM10</t>
  </si>
  <si>
    <t>PM2.5</t>
  </si>
  <si>
    <t>SO2</t>
  </si>
  <si>
    <t>NOx</t>
  </si>
  <si>
    <t>VOCs</t>
  </si>
  <si>
    <t xml:space="preserve">CO </t>
  </si>
  <si>
    <t>CO2</t>
  </si>
  <si>
    <t>CH4</t>
  </si>
  <si>
    <t>N2O</t>
  </si>
  <si>
    <t>GHG</t>
  </si>
  <si>
    <t>CO2e</t>
  </si>
  <si>
    <t>benz(a)anthracene</t>
  </si>
  <si>
    <t xml:space="preserve"> </t>
  </si>
  <si>
    <t>Molasses:</t>
  </si>
  <si>
    <t>Molasses Heating Value:</t>
  </si>
  <si>
    <t>Used Oil:</t>
  </si>
  <si>
    <t>Used Oil Heating Value:</t>
  </si>
  <si>
    <t>Molasses Emission Factor    (lb/MMBtu)</t>
  </si>
  <si>
    <t>Used Oil Emission Factor (lb/1000 gal)</t>
  </si>
  <si>
    <t xml:space="preserve">Natural Gas Hourly Potential (lb/hr) </t>
  </si>
  <si>
    <t>Molasses Hourly Potential    (lb/hr)</t>
  </si>
  <si>
    <t>Worst Case Fuel Hourly Potential (lb/hr)</t>
  </si>
  <si>
    <t>Acetaldehyde</t>
  </si>
  <si>
    <t>Acetephenone</t>
  </si>
  <si>
    <t>Acrolein</t>
  </si>
  <si>
    <t>bis(2-Ethylhexyl)phthalate</t>
  </si>
  <si>
    <t>Carbon tetrachloride</t>
  </si>
  <si>
    <t>Chlorine</t>
  </si>
  <si>
    <t>Chlorobenzene</t>
  </si>
  <si>
    <t>Chloroform</t>
  </si>
  <si>
    <t>Dinitrophenol 2,4</t>
  </si>
  <si>
    <t>Hydrogen Chloride</t>
  </si>
  <si>
    <t>Nitrophenol,4</t>
  </si>
  <si>
    <t>Pentachlorophenol</t>
  </si>
  <si>
    <t>Phenol</t>
  </si>
  <si>
    <t>Styrene</t>
  </si>
  <si>
    <t>TCDD 2,3,7,8</t>
  </si>
  <si>
    <t>Trichlorophenol 2,4,6</t>
  </si>
  <si>
    <t>Vinyl Chloride</t>
  </si>
  <si>
    <t>VOC's</t>
  </si>
  <si>
    <t>CO</t>
  </si>
  <si>
    <t>Boiler 2 - Proposed</t>
  </si>
  <si>
    <t>Wood:</t>
  </si>
  <si>
    <t>lb/hr</t>
  </si>
  <si>
    <t>Wood Heating Value:</t>
  </si>
  <si>
    <t>Wood Emission Factor    (lb/MMBtu)</t>
  </si>
  <si>
    <t>Wood Hourly Potential    (lb/hr)</t>
  </si>
  <si>
    <t>EU034        Boiler 4 Fuels:  Distillate (#2) Fuel Oil, Natural Gas, Wood</t>
  </si>
  <si>
    <t>TEMPORARY BOILERS - PTE</t>
  </si>
  <si>
    <t>tpy - each</t>
  </si>
  <si>
    <t>tpy - total</t>
  </si>
  <si>
    <t>lb/hr - total</t>
  </si>
  <si>
    <t>Actual PM and PM10 emissions calculated using EF of 0.14 lb PM10/mm btu and 0.24 lb PM/mm btu. (Latest G-P Stack test data)</t>
  </si>
  <si>
    <t>Boiler 5, EU035, SV025</t>
  </si>
  <si>
    <t>Used Oil Hourly Potential    (lb/hr)</t>
  </si>
  <si>
    <t>EU035        Boiler 5 Fuels:  Distillate (#2) Fuel Oil, Used Oil, Molasses, Wood</t>
  </si>
  <si>
    <t>Benz(a)pyrene</t>
  </si>
  <si>
    <t>Molasses uses green wood EF's except for  SO2 which used fuel oil EF x % Sulfur in molasses.</t>
  </si>
  <si>
    <t>Total PM Limited to 23.0 tons per year (permit 13700031-002) to keep Boiler 5 modification non-major for PSD.</t>
  </si>
  <si>
    <t xml:space="preserve">Total PM-10 Limited to 13.0 tons per year (permit 13700031-002) to keep Boiler 5 modification non-major for PSD. </t>
  </si>
  <si>
    <t>TSD for permit 13700031-002: "The PM emissions will be limited to 0.35 lb/mmBtu and the PM10 emissions will be limited to 0.2 lb/mmBtu to keep the modification a synthetic minor for PSD."</t>
  </si>
  <si>
    <t>TCO / RTO, EU055, SV046</t>
  </si>
  <si>
    <t>Hourly Potential (lb/hr)</t>
  </si>
  <si>
    <t>EU055         TCO/RTO: Natural Gas</t>
  </si>
  <si>
    <t>Napthalene</t>
  </si>
  <si>
    <t>Benz(a)anthrance</t>
  </si>
  <si>
    <t>Benzo(b,k)fluoranthene</t>
  </si>
  <si>
    <t>7,12-Dimethylbenz(a)anthracene</t>
  </si>
  <si>
    <t>Indo(1,2,3-cd)pyrene</t>
  </si>
  <si>
    <t>2-Methylnaphthalene</t>
  </si>
  <si>
    <t>3-Methylchloranthrene</t>
  </si>
  <si>
    <t>RAFVO:</t>
  </si>
  <si>
    <t>RAFVO Heating Value:</t>
  </si>
  <si>
    <t>EU031       Boiler 1         Fuels:         Distillate (#2) and Residual (#6) Fuel Oil,  Natural Gas, Refined Animal Fats and Vegetable Oils</t>
  </si>
  <si>
    <t>EU006        Boiler 2         Fuels:         Distillate (#2) Fuel Oil,  Natural Gas</t>
  </si>
  <si>
    <t>EU002        Dryer          Fuels: Distillate (#2) Oil, Natural Gas</t>
  </si>
  <si>
    <t>RAFVO Emission Factor (lb/1000 gal)</t>
  </si>
  <si>
    <t>RAFVO Hourly Potential (lb/hr)</t>
  </si>
  <si>
    <r>
      <t>SO</t>
    </r>
    <r>
      <rPr>
        <b/>
        <vertAlign val="subscript"/>
        <sz val="10"/>
        <rFont val="Arial"/>
        <family val="2"/>
      </rPr>
      <t>2</t>
    </r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</si>
  <si>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</si>
  <si>
    <t>All HAPs</t>
  </si>
  <si>
    <t>NA</t>
  </si>
  <si>
    <t>S (No. 6):</t>
  </si>
  <si>
    <t>%</t>
  </si>
  <si>
    <t>S (No. 2):</t>
  </si>
  <si>
    <r>
      <t>[4]</t>
    </r>
    <r>
      <rPr>
        <sz val="9"/>
        <rFont val="Arial"/>
        <family val="2"/>
      </rPr>
      <t xml:space="preserve"> VOC emission factor from Air Pollutant Emission Inventory Report 2009</t>
    </r>
  </si>
  <si>
    <r>
      <t>VOC</t>
    </r>
    <r>
      <rPr>
        <b/>
        <vertAlign val="superscript"/>
        <sz val="10"/>
        <rFont val="Arial"/>
        <family val="2"/>
      </rPr>
      <t>[3]</t>
    </r>
  </si>
  <si>
    <r>
      <t>[3]</t>
    </r>
    <r>
      <rPr>
        <sz val="9"/>
        <rFont val="Arial"/>
        <family val="2"/>
      </rPr>
      <t xml:space="preserve"> VOC emission factor from Air Pollutant Emission Inventory Report 2009</t>
    </r>
  </si>
  <si>
    <t>S (RAFVO):</t>
  </si>
  <si>
    <r>
      <t>[4]</t>
    </r>
    <r>
      <rPr>
        <sz val="9"/>
        <rFont val="Arial"/>
        <family val="2"/>
      </rPr>
      <t xml:space="preserve"> VOC emission factor from MPCA PTE records for GP003, dated January 8, 2013</t>
    </r>
  </si>
  <si>
    <t>VOIC</t>
  </si>
  <si>
    <t>Single HAP*</t>
  </si>
  <si>
    <t>*Largest single HAP is hexane from natural gas combustion.</t>
  </si>
  <si>
    <t>--</t>
  </si>
  <si>
    <t>Combustion Emissions Calculations</t>
  </si>
  <si>
    <t xml:space="preserve"> Blood/Ring Dryer - EU002 (SV002)</t>
  </si>
  <si>
    <t>Process Emissions Calculations</t>
  </si>
  <si>
    <t>Combustion Emissions Calculations (does not include process emissions)</t>
  </si>
  <si>
    <r>
      <t>CO</t>
    </r>
    <r>
      <rPr>
        <b/>
        <vertAlign val="subscript"/>
        <sz val="10"/>
        <rFont val="Arial"/>
        <family val="2"/>
      </rPr>
      <t>2</t>
    </r>
  </si>
  <si>
    <r>
      <t>CH</t>
    </r>
    <r>
      <rPr>
        <b/>
        <vertAlign val="subscript"/>
        <sz val="10"/>
        <rFont val="Arial"/>
        <family val="2"/>
      </rPr>
      <t>4</t>
    </r>
  </si>
  <si>
    <r>
      <t>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</si>
  <si>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Facility PTE Summary</t>
  </si>
  <si>
    <t>Sanimax USA Inc</t>
  </si>
  <si>
    <t>Protein Silos (EU009 &amp; EU010)</t>
  </si>
  <si>
    <t>SV001</t>
  </si>
  <si>
    <t>SV002</t>
  </si>
  <si>
    <t>SV006</t>
  </si>
  <si>
    <t>1,1,1-Trichloroethane</t>
  </si>
  <si>
    <t xml:space="preserve">For RAFVO, use AP-42 emission factors for No. 4 fuel oil, or No. 2 distillate oil when No. 4 fuel oil emission factors are not available (AP-42 section 1.3). </t>
  </si>
  <si>
    <t>Phosphorus</t>
  </si>
  <si>
    <t>PPF Process - EU020, EU021 and EU022 (SV018)</t>
  </si>
  <si>
    <t>PPF Cooking Process - EU020</t>
  </si>
  <si>
    <t>PPF Pressing Process - EU021</t>
  </si>
  <si>
    <t>PPF Milling Process - EU022</t>
  </si>
  <si>
    <t>EU020</t>
  </si>
  <si>
    <t>EU021</t>
  </si>
  <si>
    <t>EU022</t>
  </si>
  <si>
    <t>EU023</t>
  </si>
  <si>
    <t>SV019</t>
  </si>
  <si>
    <t>SV018</t>
  </si>
  <si>
    <t>Boiler No. 3 - EU023 (SV019)</t>
  </si>
  <si>
    <t xml:space="preserve">Emission  </t>
  </si>
  <si>
    <t>Unit</t>
  </si>
  <si>
    <t>Stack /</t>
  </si>
  <si>
    <t>Vent</t>
  </si>
  <si>
    <t>Difference</t>
  </si>
  <si>
    <t>SV003</t>
  </si>
  <si>
    <t>SV005</t>
  </si>
  <si>
    <t>SV009</t>
  </si>
  <si>
    <t>SV010</t>
  </si>
  <si>
    <t>SV012</t>
  </si>
  <si>
    <t>SV014</t>
  </si>
  <si>
    <t>Existing</t>
  </si>
  <si>
    <t>Existing PTE</t>
  </si>
  <si>
    <t>Proposed PTE</t>
  </si>
  <si>
    <t>240**</t>
  </si>
  <si>
    <t>hp</t>
  </si>
  <si>
    <t>MMBtu/hr  =</t>
  </si>
  <si>
    <t>Propane Hourly Potential (lb/hr)</t>
  </si>
  <si>
    <t>Propane:</t>
  </si>
  <si>
    <t>Propane Heating Value:</t>
  </si>
  <si>
    <t>(tpy)</t>
  </si>
  <si>
    <r>
      <t>** Facility is currently subject to a 240 tpy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limit.</t>
    </r>
  </si>
  <si>
    <t>S (propane):</t>
  </si>
  <si>
    <t>Use  natural gas emission factors for HAPs and lead as a conservative estimate for propane.</t>
  </si>
  <si>
    <t>Propane Emission Factor (lb/1000 gal)</t>
  </si>
  <si>
    <t>Propane sulfur content from Santa Barbara County Air Pollution Control District "Technical Information and References, Gaseous Fuel SOx Emission Factor (v. 1.0, 1/31/97) [http://www.sbcapcd.org/eng/tech/sulfur01.htm]</t>
  </si>
  <si>
    <t>gr/100 scf</t>
  </si>
  <si>
    <t>EU023        Boiler 3         Fuels:         Distillate (#2) Fuel Oil, Natural Gas, Propane</t>
  </si>
  <si>
    <t>For RAFVO, use AP-42 emission factors for No. 2 distillate oil (AP-42 section 1.3) [http://www.epa.gov/ttn/caaa/t3/reports/aedsp.pdf]</t>
  </si>
  <si>
    <t>EU031       Boiler 1         Fuels:         Distillate (#2) Fuel Oil,  Natural Gas, Propane (RAFVO, biodiesel, glycerin)</t>
  </si>
  <si>
    <t>EU002        Dryer          Fuels: Distillate (#2) Oil, Natural Gas, Propane (RAFVO, biodiesel, glycerin)</t>
  </si>
  <si>
    <t>EU006        Boiler 2         Fuels:         Distillate (#2) Fuel Oil, Natural Gas, Propane (RAFVO, biodiesel, glycerin)</t>
  </si>
  <si>
    <t>tpy</t>
  </si>
  <si>
    <t>Total (lb/hr)</t>
  </si>
  <si>
    <t>Total (tpy)</t>
  </si>
  <si>
    <t>Proposed/Revised</t>
  </si>
  <si>
    <t>Name</t>
  </si>
  <si>
    <t>CAS No.</t>
  </si>
  <si>
    <t>83-32-9</t>
  </si>
  <si>
    <t>203-96-8</t>
  </si>
  <si>
    <t>120-12-7</t>
  </si>
  <si>
    <t>56-55-3</t>
  </si>
  <si>
    <t>71-43-2</t>
  </si>
  <si>
    <t>50-32-8</t>
  </si>
  <si>
    <t>205-99-2</t>
  </si>
  <si>
    <t>191-24-2</t>
  </si>
  <si>
    <t>205-82-3</t>
  </si>
  <si>
    <t>218-01-9</t>
  </si>
  <si>
    <t>53-70-3</t>
  </si>
  <si>
    <t>206-44-0</t>
  </si>
  <si>
    <t>86-73-7</t>
  </si>
  <si>
    <t>50-00-0</t>
  </si>
  <si>
    <t>110-54-3</t>
  </si>
  <si>
    <t>193-39-5</t>
  </si>
  <si>
    <t>91-57-6</t>
  </si>
  <si>
    <t>56-49-5</t>
  </si>
  <si>
    <t>91-20-3</t>
  </si>
  <si>
    <t>85-01-8</t>
  </si>
  <si>
    <t>129-00-0</t>
  </si>
  <si>
    <t>108-88-3</t>
  </si>
  <si>
    <t>7440-38-2</t>
  </si>
  <si>
    <t>7440-41-7</t>
  </si>
  <si>
    <t>7440-43-9</t>
  </si>
  <si>
    <t>7440-47-3</t>
  </si>
  <si>
    <t>7440-48-4</t>
  </si>
  <si>
    <t>7439-97-6</t>
  </si>
  <si>
    <t>7439-96-5</t>
  </si>
  <si>
    <t>7440-02-0</t>
  </si>
  <si>
    <t>7782-49-2</t>
  </si>
  <si>
    <t>100-41-4</t>
  </si>
  <si>
    <t>1330-20-7</t>
  </si>
  <si>
    <t>7440-36-0</t>
  </si>
  <si>
    <t>71-55-6</t>
  </si>
  <si>
    <t>57-97-6</t>
  </si>
  <si>
    <t>106-46-7</t>
  </si>
  <si>
    <t>Hazardous Air Pollutants</t>
  </si>
  <si>
    <t>Combustion Emissions Summary</t>
  </si>
  <si>
    <t>Combustion Emissions Calculations - EXISTING</t>
  </si>
  <si>
    <t>Combustion Emissions Calculations  - EXISTING - (does not include process emissions)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</si>
</sst>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00"/>
    <numFmt numFmtId="165" formatCode="#,##0.000"/>
    <numFmt numFmtId="166" formatCode="0.0%"/>
    <numFmt numFmtId="167" formatCode="#,##0.0"/>
    <numFmt numFmtId="168" formatCode="0.0000"/>
    <numFmt numFmtId="169" formatCode="0.00000"/>
    <numFmt numFmtId="170" formatCode="0.000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b/>
      <vertAlign val="superscript"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vertAlign val="subscript"/>
      <sz val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8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2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/>
    <xf numFmtId="0" fontId="2" fillId="0" borderId="19" xfId="0" applyFont="1" applyFill="1" applyBorder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2" fillId="2" borderId="20" xfId="2" applyNumberFormat="1" applyFont="1" applyFill="1" applyBorder="1" applyAlignment="1">
      <alignment horizontal="center"/>
    </xf>
    <xf numFmtId="2" fontId="2" fillId="2" borderId="21" xfId="2" applyNumberFormat="1" applyFont="1" applyFill="1" applyBorder="1" applyAlignment="1">
      <alignment horizontal="center"/>
    </xf>
    <xf numFmtId="2" fontId="2" fillId="2" borderId="12" xfId="2" applyNumberFormat="1" applyFont="1" applyFill="1" applyBorder="1" applyAlignment="1">
      <alignment horizontal="center"/>
    </xf>
    <xf numFmtId="2" fontId="2" fillId="2" borderId="5" xfId="2" applyNumberFormat="1" applyFont="1" applyFill="1" applyBorder="1" applyAlignment="1">
      <alignment horizontal="center"/>
    </xf>
    <xf numFmtId="2" fontId="2" fillId="2" borderId="13" xfId="2" applyNumberFormat="1" applyFont="1" applyFill="1" applyBorder="1" applyAlignment="1">
      <alignment horizontal="center"/>
    </xf>
    <xf numFmtId="2" fontId="2" fillId="2" borderId="8" xfId="2" applyNumberFormat="1" applyFont="1" applyFill="1" applyBorder="1" applyAlignment="1">
      <alignment horizontal="center"/>
    </xf>
    <xf numFmtId="0" fontId="2" fillId="2" borderId="20" xfId="2" applyFont="1" applyFill="1" applyBorder="1" applyAlignment="1">
      <alignment horizontal="center"/>
    </xf>
    <xf numFmtId="0" fontId="2" fillId="2" borderId="21" xfId="2" applyFont="1" applyFill="1" applyBorder="1" applyAlignment="1">
      <alignment horizontal="center"/>
    </xf>
    <xf numFmtId="0" fontId="2" fillId="2" borderId="22" xfId="2" applyFont="1" applyFill="1" applyBorder="1" applyAlignment="1">
      <alignment horizontal="center" wrapText="1"/>
    </xf>
    <xf numFmtId="0" fontId="2" fillId="2" borderId="23" xfId="2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1" xfId="0" quotePrefix="1" applyNumberForma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quotePrefix="1" applyNumberFormat="1" applyBorder="1" applyAlignment="1">
      <alignment horizontal="center"/>
    </xf>
    <xf numFmtId="0" fontId="2" fillId="0" borderId="25" xfId="0" applyFont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quotePrefix="1" applyNumberForma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 shrinkToFit="1"/>
    </xf>
    <xf numFmtId="0" fontId="8" fillId="0" borderId="29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2" fontId="8" fillId="0" borderId="20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4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0" xfId="0" applyNumberFormat="1" applyFont="1"/>
    <xf numFmtId="2" fontId="2" fillId="2" borderId="20" xfId="0" applyNumberFormat="1" applyFont="1" applyFill="1" applyBorder="1" applyAlignment="1">
      <alignment horizontal="center"/>
    </xf>
    <xf numFmtId="2" fontId="2" fillId="2" borderId="21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165" fontId="8" fillId="0" borderId="0" xfId="0" applyNumberFormat="1" applyFont="1"/>
    <xf numFmtId="0" fontId="8" fillId="0" borderId="0" xfId="0" applyFont="1" applyAlignment="1">
      <alignment horizontal="center" wrapText="1"/>
    </xf>
    <xf numFmtId="0" fontId="4" fillId="0" borderId="0" xfId="0" applyFont="1" applyAlignment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0" fillId="0" borderId="5" xfId="0" quotePrefix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0" xfId="0" quotePrefix="1" applyNumberFormat="1" applyBorder="1" applyAlignment="1">
      <alignment horizontal="center"/>
    </xf>
    <xf numFmtId="0" fontId="10" fillId="0" borderId="0" xfId="0" applyFont="1" applyBorder="1" applyAlignment="1">
      <alignment horizontal="left"/>
    </xf>
    <xf numFmtId="164" fontId="0" fillId="2" borderId="20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9" fontId="0" fillId="2" borderId="32" xfId="0" applyNumberFormat="1" applyFill="1" applyBorder="1" applyAlignment="1">
      <alignment horizontal="center"/>
    </xf>
    <xf numFmtId="166" fontId="0" fillId="0" borderId="20" xfId="0" applyNumberFormat="1" applyFill="1" applyBorder="1" applyAlignment="1">
      <alignment horizontal="center"/>
    </xf>
    <xf numFmtId="164" fontId="0" fillId="0" borderId="32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9" fontId="0" fillId="2" borderId="33" xfId="0" applyNumberFormat="1" applyFill="1" applyBorder="1" applyAlignment="1">
      <alignment horizontal="center"/>
    </xf>
    <xf numFmtId="166" fontId="0" fillId="0" borderId="12" xfId="0" applyNumberFormat="1" applyFill="1" applyBorder="1" applyAlignment="1">
      <alignment horizontal="center"/>
    </xf>
    <xf numFmtId="164" fontId="0" fillId="0" borderId="33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9" fontId="0" fillId="2" borderId="34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quotePrefix="1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2" fontId="0" fillId="0" borderId="21" xfId="0" quotePrefix="1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5" xfId="0" quotePrefix="1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8" xfId="0" quotePrefix="1" applyNumberForma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 shrinkToFit="1"/>
    </xf>
    <xf numFmtId="0" fontId="8" fillId="0" borderId="29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Alignment="1">
      <alignment horizontal="left" wrapText="1"/>
    </xf>
    <xf numFmtId="11" fontId="0" fillId="0" borderId="5" xfId="0" applyNumberFormat="1" applyFill="1" applyBorder="1" applyAlignment="1">
      <alignment horizontal="center"/>
    </xf>
    <xf numFmtId="2" fontId="0" fillId="0" borderId="0" xfId="0" applyNumberFormat="1"/>
    <xf numFmtId="0" fontId="8" fillId="0" borderId="0" xfId="0" applyFont="1" applyBorder="1"/>
    <xf numFmtId="11" fontId="8" fillId="0" borderId="5" xfId="0" applyNumberFormat="1" applyFont="1" applyFill="1" applyBorder="1" applyAlignment="1">
      <alignment horizontal="center"/>
    </xf>
    <xf numFmtId="11" fontId="0" fillId="0" borderId="64" xfId="0" applyNumberForma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0" fontId="8" fillId="0" borderId="0" xfId="0" applyFont="1" applyFill="1" applyBorder="1"/>
    <xf numFmtId="11" fontId="8" fillId="0" borderId="5" xfId="0" applyNumberFormat="1" applyFont="1" applyBorder="1" applyAlignment="1">
      <alignment horizontal="center"/>
    </xf>
    <xf numFmtId="0" fontId="0" fillId="0" borderId="0" xfId="0" applyBorder="1"/>
    <xf numFmtId="168" fontId="0" fillId="0" borderId="0" xfId="0" applyNumberFormat="1" applyBorder="1" applyAlignment="1">
      <alignment horizontal="center"/>
    </xf>
    <xf numFmtId="2" fontId="2" fillId="2" borderId="41" xfId="0" applyNumberFormat="1" applyFont="1" applyFill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2" fontId="2" fillId="2" borderId="3" xfId="2" applyNumberFormat="1" applyFont="1" applyFill="1" applyBorder="1" applyAlignment="1">
      <alignment horizontal="center"/>
    </xf>
    <xf numFmtId="2" fontId="2" fillId="2" borderId="11" xfId="2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/>
    </xf>
    <xf numFmtId="169" fontId="0" fillId="0" borderId="0" xfId="0" applyNumberFormat="1"/>
    <xf numFmtId="0" fontId="0" fillId="0" borderId="3" xfId="0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2" fillId="0" borderId="82" xfId="0" applyFont="1" applyBorder="1" applyAlignment="1">
      <alignment horizontal="center"/>
    </xf>
    <xf numFmtId="2" fontId="2" fillId="2" borderId="15" xfId="2" applyNumberFormat="1" applyFont="1" applyFill="1" applyBorder="1" applyAlignment="1">
      <alignment horizontal="center"/>
    </xf>
    <xf numFmtId="2" fontId="2" fillId="2" borderId="14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2" fontId="0" fillId="0" borderId="33" xfId="0" applyNumberForma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8" fillId="0" borderId="0" xfId="0" applyNumberFormat="1" applyFont="1" applyBorder="1"/>
    <xf numFmtId="2" fontId="0" fillId="0" borderId="0" xfId="0" applyNumberFormat="1" applyBorder="1"/>
    <xf numFmtId="11" fontId="8" fillId="0" borderId="0" xfId="0" applyNumberFormat="1" applyFont="1" applyBorder="1"/>
    <xf numFmtId="2" fontId="8" fillId="0" borderId="0" xfId="0" applyNumberFormat="1" applyFont="1" applyBorder="1"/>
    <xf numFmtId="2" fontId="2" fillId="0" borderId="0" xfId="0" applyNumberFormat="1" applyFont="1" applyBorder="1"/>
    <xf numFmtId="0" fontId="0" fillId="0" borderId="0" xfId="0" applyNumberFormat="1" applyBorder="1"/>
    <xf numFmtId="43" fontId="0" fillId="0" borderId="0" xfId="1" applyFont="1" applyBorder="1"/>
    <xf numFmtId="0" fontId="15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43" fontId="8" fillId="0" borderId="0" xfId="1" applyFont="1" applyBorder="1" applyAlignment="1">
      <alignment horizontal="center"/>
    </xf>
    <xf numFmtId="0" fontId="8" fillId="0" borderId="5" xfId="0" applyFont="1" applyFill="1" applyBorder="1"/>
    <xf numFmtId="0" fontId="2" fillId="0" borderId="5" xfId="0" applyFont="1" applyFill="1" applyBorder="1"/>
    <xf numFmtId="0" fontId="8" fillId="0" borderId="5" xfId="0" applyFont="1" applyBorder="1"/>
    <xf numFmtId="2" fontId="0" fillId="4" borderId="5" xfId="0" applyNumberFormat="1" applyFill="1" applyBorder="1" applyAlignment="1">
      <alignment horizontal="center"/>
    </xf>
    <xf numFmtId="11" fontId="0" fillId="4" borderId="5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11" fontId="8" fillId="4" borderId="5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81" xfId="0" applyFont="1" applyFill="1" applyBorder="1" applyAlignment="1">
      <alignment horizontal="center"/>
    </xf>
    <xf numFmtId="0" fontId="1" fillId="0" borderId="0" xfId="0" applyFont="1" applyBorder="1"/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8" fillId="0" borderId="5" xfId="0" quotePrefix="1" applyNumberFormat="1" applyFont="1" applyFill="1" applyBorder="1" applyAlignment="1">
      <alignment horizontal="center"/>
    </xf>
    <xf numFmtId="2" fontId="1" fillId="0" borderId="5" xfId="0" quotePrefix="1" applyNumberFormat="1" applyFont="1" applyFill="1" applyBorder="1" applyAlignment="1">
      <alignment horizontal="center"/>
    </xf>
    <xf numFmtId="2" fontId="8" fillId="0" borderId="12" xfId="0" quotePrefix="1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0" fillId="0" borderId="40" xfId="0" applyNumberFormat="1" applyFill="1" applyBorder="1" applyAlignment="1">
      <alignment horizontal="center"/>
    </xf>
    <xf numFmtId="2" fontId="8" fillId="0" borderId="40" xfId="0" quotePrefix="1" applyNumberFormat="1" applyFont="1" applyFill="1" applyBorder="1" applyAlignment="1">
      <alignment horizontal="center"/>
    </xf>
    <xf numFmtId="2" fontId="1" fillId="0" borderId="40" xfId="0" quotePrefix="1" applyNumberFormat="1" applyFont="1" applyFill="1" applyBorder="1" applyAlignment="1">
      <alignment horizontal="center"/>
    </xf>
    <xf numFmtId="2" fontId="8" fillId="0" borderId="83" xfId="0" quotePrefix="1" applyNumberFormat="1" applyFont="1" applyFill="1" applyBorder="1" applyAlignment="1">
      <alignment horizontal="center"/>
    </xf>
    <xf numFmtId="0" fontId="0" fillId="0" borderId="4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2" fontId="8" fillId="0" borderId="33" xfId="0" quotePrefix="1" applyNumberFormat="1" applyFont="1" applyFill="1" applyBorder="1" applyAlignment="1">
      <alignment horizontal="center"/>
    </xf>
    <xf numFmtId="2" fontId="8" fillId="0" borderId="3" xfId="0" quotePrefix="1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5" applyFont="1" applyBorder="1"/>
    <xf numFmtId="0" fontId="2" fillId="0" borderId="0" xfId="5" applyFont="1" applyFill="1" applyBorder="1"/>
    <xf numFmtId="0" fontId="1" fillId="0" borderId="0" xfId="5" applyFill="1" applyBorder="1"/>
    <xf numFmtId="0" fontId="1" fillId="0" borderId="0" xfId="5" applyBorder="1"/>
    <xf numFmtId="164" fontId="1" fillId="0" borderId="0" xfId="5" applyNumberFormat="1" applyFont="1" applyBorder="1"/>
    <xf numFmtId="0" fontId="1" fillId="0" borderId="0" xfId="5" applyNumberFormat="1" applyFont="1" applyBorder="1"/>
    <xf numFmtId="0" fontId="2" fillId="0" borderId="5" xfId="5" applyFont="1" applyBorder="1" applyAlignment="1">
      <alignment horizontal="center" wrapText="1"/>
    </xf>
    <xf numFmtId="0" fontId="2" fillId="0" borderId="0" xfId="5" applyFont="1" applyBorder="1"/>
    <xf numFmtId="0" fontId="2" fillId="0" borderId="0" xfId="5" applyFont="1" applyFill="1" applyBorder="1" applyAlignment="1">
      <alignment horizontal="center" wrapText="1"/>
    </xf>
    <xf numFmtId="0" fontId="1" fillId="0" borderId="5" xfId="5" applyFont="1" applyFill="1" applyBorder="1"/>
    <xf numFmtId="11" fontId="1" fillId="0" borderId="5" xfId="5" applyNumberFormat="1" applyFill="1" applyBorder="1" applyAlignment="1">
      <alignment horizontal="center"/>
    </xf>
    <xf numFmtId="11" fontId="1" fillId="4" borderId="5" xfId="5" applyNumberFormat="1" applyFill="1" applyBorder="1" applyAlignment="1">
      <alignment horizontal="center"/>
    </xf>
    <xf numFmtId="2" fontId="1" fillId="0" borderId="0" xfId="5" applyNumberFormat="1" applyBorder="1"/>
    <xf numFmtId="11" fontId="1" fillId="4" borderId="5" xfId="5" applyNumberFormat="1" applyFont="1" applyFill="1" applyBorder="1" applyAlignment="1">
      <alignment horizontal="center"/>
    </xf>
    <xf numFmtId="11" fontId="1" fillId="0" borderId="5" xfId="5" applyNumberFormat="1" applyFont="1" applyFill="1" applyBorder="1" applyAlignment="1">
      <alignment horizontal="center"/>
    </xf>
    <xf numFmtId="11" fontId="1" fillId="0" borderId="0" xfId="5" applyNumberFormat="1" applyFont="1" applyBorder="1"/>
    <xf numFmtId="2" fontId="1" fillId="0" borderId="0" xfId="5" applyNumberFormat="1" applyFont="1" applyBorder="1"/>
    <xf numFmtId="0" fontId="2" fillId="0" borderId="5" xfId="5" applyFont="1" applyFill="1" applyBorder="1"/>
    <xf numFmtId="2" fontId="1" fillId="4" borderId="5" xfId="5" applyNumberFormat="1" applyFill="1" applyBorder="1" applyAlignment="1">
      <alignment horizontal="center"/>
    </xf>
    <xf numFmtId="2" fontId="2" fillId="4" borderId="5" xfId="5" applyNumberFormat="1" applyFont="1" applyFill="1" applyBorder="1" applyAlignment="1">
      <alignment horizontal="center"/>
    </xf>
    <xf numFmtId="11" fontId="2" fillId="4" borderId="5" xfId="5" applyNumberFormat="1" applyFont="1" applyFill="1" applyBorder="1" applyAlignment="1">
      <alignment horizontal="center"/>
    </xf>
    <xf numFmtId="2" fontId="1" fillId="4" borderId="5" xfId="5" applyNumberFormat="1" applyFont="1" applyFill="1" applyBorder="1" applyAlignment="1">
      <alignment horizontal="center"/>
    </xf>
    <xf numFmtId="2" fontId="2" fillId="0" borderId="0" xfId="5" applyNumberFormat="1" applyFont="1" applyBorder="1"/>
    <xf numFmtId="3" fontId="1" fillId="4" borderId="5" xfId="5" applyNumberFormat="1" applyFill="1" applyBorder="1" applyAlignment="1">
      <alignment horizontal="center"/>
    </xf>
    <xf numFmtId="3" fontId="2" fillId="4" borderId="5" xfId="5" applyNumberFormat="1" applyFont="1" applyFill="1" applyBorder="1" applyAlignment="1">
      <alignment horizontal="center"/>
    </xf>
    <xf numFmtId="167" fontId="1" fillId="0" borderId="0" xfId="5" applyNumberFormat="1" applyFill="1" applyBorder="1" applyAlignment="1">
      <alignment horizontal="center"/>
    </xf>
    <xf numFmtId="2" fontId="1" fillId="0" borderId="0" xfId="5" applyNumberFormat="1" applyFill="1" applyBorder="1" applyAlignment="1">
      <alignment horizontal="center"/>
    </xf>
    <xf numFmtId="0" fontId="1" fillId="0" borderId="0" xfId="5" applyNumberFormat="1" applyBorder="1"/>
    <xf numFmtId="164" fontId="1" fillId="4" borderId="5" xfId="5" applyNumberFormat="1" applyFill="1" applyBorder="1" applyAlignment="1">
      <alignment horizontal="center"/>
    </xf>
    <xf numFmtId="11" fontId="1" fillId="0" borderId="5" xfId="5" quotePrefix="1" applyNumberFormat="1" applyFont="1" applyFill="1" applyBorder="1" applyAlignment="1">
      <alignment horizontal="center"/>
    </xf>
    <xf numFmtId="0" fontId="1" fillId="0" borderId="0" xfId="5" applyFont="1" applyFill="1" applyBorder="1"/>
    <xf numFmtId="0" fontId="16" fillId="0" borderId="0" xfId="5" applyFont="1" applyBorder="1"/>
    <xf numFmtId="168" fontId="1" fillId="0" borderId="0" xfId="5" applyNumberFormat="1" applyBorder="1" applyAlignment="1">
      <alignment horizontal="center"/>
    </xf>
    <xf numFmtId="11" fontId="1" fillId="0" borderId="5" xfId="5" applyNumberFormat="1" applyBorder="1" applyAlignment="1">
      <alignment horizontal="center" wrapText="1"/>
    </xf>
    <xf numFmtId="11" fontId="1" fillId="4" borderId="5" xfId="5" applyNumberFormat="1" applyFill="1" applyBorder="1" applyAlignment="1">
      <alignment horizontal="center" wrapText="1"/>
    </xf>
    <xf numFmtId="0" fontId="1" fillId="0" borderId="5" xfId="5" applyFont="1" applyBorder="1"/>
    <xf numFmtId="11" fontId="1" fillId="0" borderId="5" xfId="5" applyNumberFormat="1" applyFont="1" applyBorder="1" applyAlignment="1">
      <alignment horizontal="center" wrapText="1"/>
    </xf>
    <xf numFmtId="11" fontId="1" fillId="4" borderId="5" xfId="5" applyNumberFormat="1" applyFont="1" applyFill="1" applyBorder="1" applyAlignment="1">
      <alignment horizontal="center" wrapText="1"/>
    </xf>
    <xf numFmtId="2" fontId="1" fillId="0" borderId="5" xfId="5" applyNumberFormat="1" applyBorder="1" applyAlignment="1">
      <alignment horizontal="center"/>
    </xf>
    <xf numFmtId="4" fontId="1" fillId="4" borderId="5" xfId="5" applyNumberFormat="1" applyFill="1" applyBorder="1" applyAlignment="1">
      <alignment horizontal="center"/>
    </xf>
    <xf numFmtId="2" fontId="1" fillId="0" borderId="0" xfId="5" applyNumberFormat="1" applyBorder="1" applyAlignment="1">
      <alignment horizontal="center"/>
    </xf>
    <xf numFmtId="4" fontId="2" fillId="4" borderId="5" xfId="5" applyNumberFormat="1" applyFont="1" applyFill="1" applyBorder="1" applyAlignment="1">
      <alignment horizontal="center"/>
    </xf>
    <xf numFmtId="11" fontId="1" fillId="0" borderId="5" xfId="5" applyNumberFormat="1" applyFont="1" applyBorder="1" applyAlignment="1">
      <alignment horizontal="center"/>
    </xf>
    <xf numFmtId="0" fontId="15" fillId="0" borderId="0" xfId="5" applyFont="1" applyBorder="1" applyAlignment="1">
      <alignment horizontal="left"/>
    </xf>
    <xf numFmtId="2" fontId="2" fillId="0" borderId="0" xfId="5" applyNumberFormat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3" fontId="1" fillId="4" borderId="5" xfId="5" applyNumberFormat="1" applyFont="1" applyFill="1" applyBorder="1" applyAlignment="1">
      <alignment horizontal="center"/>
    </xf>
    <xf numFmtId="0" fontId="1" fillId="0" borderId="0" xfId="5" applyFont="1" applyBorder="1" applyAlignment="1">
      <alignment horizontal="center" vertical="center" wrapText="1"/>
    </xf>
    <xf numFmtId="11" fontId="1" fillId="0" borderId="0" xfId="5" applyNumberFormat="1" applyFill="1" applyBorder="1"/>
    <xf numFmtId="168" fontId="1" fillId="0" borderId="0" xfId="5" applyNumberFormat="1" applyFill="1" applyBorder="1" applyAlignment="1">
      <alignment horizontal="center"/>
    </xf>
    <xf numFmtId="164" fontId="1" fillId="0" borderId="0" xfId="5" applyNumberFormat="1" applyFill="1" applyBorder="1" applyAlignment="1">
      <alignment horizontal="center"/>
    </xf>
    <xf numFmtId="0" fontId="1" fillId="0" borderId="0" xfId="5"/>
    <xf numFmtId="11" fontId="1" fillId="0" borderId="0" xfId="5" applyNumberFormat="1" applyFont="1" applyFill="1" applyBorder="1"/>
    <xf numFmtId="11" fontId="1" fillId="0" borderId="0" xfId="5" applyNumberFormat="1" applyBorder="1" applyAlignment="1">
      <alignment horizontal="center" wrapText="1"/>
    </xf>
    <xf numFmtId="167" fontId="1" fillId="0" borderId="0" xfId="5" applyNumberFormat="1" applyBorder="1" applyAlignment="1">
      <alignment horizontal="center"/>
    </xf>
    <xf numFmtId="0" fontId="1" fillId="3" borderId="0" xfId="5" applyFont="1" applyFill="1" applyBorder="1" applyAlignment="1">
      <alignment vertical="center"/>
    </xf>
    <xf numFmtId="0" fontId="1" fillId="0" borderId="0" xfId="5" applyFont="1" applyBorder="1" applyAlignment="1">
      <alignment vertical="center"/>
    </xf>
    <xf numFmtId="0" fontId="1" fillId="0" borderId="0" xfId="5" applyBorder="1" applyAlignment="1">
      <alignment horizontal="center" vertical="center" wrapText="1"/>
    </xf>
    <xf numFmtId="0" fontId="2" fillId="0" borderId="0" xfId="5" applyFont="1"/>
    <xf numFmtId="0" fontId="1" fillId="0" borderId="0" xfId="5" applyFont="1"/>
    <xf numFmtId="2" fontId="1" fillId="0" borderId="0" xfId="5" applyNumberFormat="1" applyFont="1"/>
    <xf numFmtId="168" fontId="1" fillId="0" borderId="0" xfId="5" applyNumberFormat="1" applyFont="1" applyFill="1" applyBorder="1" applyAlignment="1">
      <alignment horizontal="center"/>
    </xf>
    <xf numFmtId="168" fontId="1" fillId="0" borderId="0" xfId="5" applyNumberFormat="1" applyFont="1" applyFill="1" applyBorder="1" applyAlignment="1">
      <alignment horizontal="left"/>
    </xf>
    <xf numFmtId="164" fontId="1" fillId="0" borderId="0" xfId="5" applyNumberFormat="1" applyFont="1" applyFill="1" applyBorder="1" applyAlignment="1">
      <alignment horizontal="center"/>
    </xf>
    <xf numFmtId="2" fontId="1" fillId="0" borderId="0" xfId="5" applyNumberFormat="1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0" fontId="1" fillId="0" borderId="56" xfId="5" applyBorder="1" applyAlignment="1">
      <alignment horizontal="center" wrapText="1"/>
    </xf>
    <xf numFmtId="0" fontId="1" fillId="0" borderId="74" xfId="5" applyBorder="1" applyAlignment="1">
      <alignment horizontal="center" wrapText="1"/>
    </xf>
    <xf numFmtId="0" fontId="1" fillId="0" borderId="59" xfId="5" applyFill="1" applyBorder="1" applyAlignment="1">
      <alignment horizontal="center" wrapText="1"/>
    </xf>
    <xf numFmtId="0" fontId="1" fillId="0" borderId="59" xfId="5" applyBorder="1" applyAlignment="1">
      <alignment horizontal="center" wrapText="1"/>
    </xf>
    <xf numFmtId="0" fontId="1" fillId="0" borderId="58" xfId="5" applyFont="1" applyBorder="1" applyAlignment="1">
      <alignment horizontal="center" wrapText="1"/>
    </xf>
    <xf numFmtId="0" fontId="1" fillId="0" borderId="57" xfId="5" applyFont="1" applyBorder="1" applyAlignment="1">
      <alignment horizontal="center" wrapText="1"/>
    </xf>
    <xf numFmtId="0" fontId="1" fillId="0" borderId="59" xfId="5" applyFont="1" applyBorder="1" applyAlignment="1">
      <alignment horizontal="center" wrapText="1"/>
    </xf>
    <xf numFmtId="0" fontId="1" fillId="0" borderId="60" xfId="5" applyFont="1" applyBorder="1" applyAlignment="1">
      <alignment horizontal="center" wrapText="1"/>
    </xf>
    <xf numFmtId="0" fontId="1" fillId="0" borderId="76" xfId="5" applyFont="1" applyFill="1" applyBorder="1"/>
    <xf numFmtId="11" fontId="1" fillId="0" borderId="8" xfId="5" applyNumberFormat="1" applyBorder="1" applyAlignment="1">
      <alignment horizontal="center" wrapText="1"/>
    </xf>
    <xf numFmtId="11" fontId="1" fillId="0" borderId="8" xfId="5" applyNumberFormat="1" applyFont="1" applyBorder="1" applyAlignment="1">
      <alignment horizontal="center" wrapText="1"/>
    </xf>
    <xf numFmtId="11" fontId="1" fillId="0" borderId="8" xfId="5" applyNumberFormat="1" applyBorder="1" applyAlignment="1">
      <alignment horizontal="center"/>
    </xf>
    <xf numFmtId="11" fontId="1" fillId="0" borderId="70" xfId="5" applyNumberFormat="1" applyBorder="1" applyAlignment="1">
      <alignment horizontal="center"/>
    </xf>
    <xf numFmtId="0" fontId="1" fillId="0" borderId="75" xfId="5" applyFont="1" applyFill="1" applyBorder="1"/>
    <xf numFmtId="11" fontId="1" fillId="0" borderId="5" xfId="5" applyNumberFormat="1" applyBorder="1" applyAlignment="1">
      <alignment horizontal="center"/>
    </xf>
    <xf numFmtId="11" fontId="1" fillId="0" borderId="62" xfId="5" applyNumberFormat="1" applyBorder="1" applyAlignment="1">
      <alignment horizontal="center"/>
    </xf>
    <xf numFmtId="11" fontId="1" fillId="0" borderId="62" xfId="5" applyNumberFormat="1" applyFill="1" applyBorder="1" applyAlignment="1">
      <alignment horizontal="center"/>
    </xf>
    <xf numFmtId="0" fontId="1" fillId="0" borderId="0" xfId="5" applyFont="1" applyBorder="1" applyAlignment="1">
      <alignment horizontal="left" wrapText="1"/>
    </xf>
    <xf numFmtId="2" fontId="1" fillId="0" borderId="0" xfId="5" applyNumberFormat="1"/>
    <xf numFmtId="11" fontId="1" fillId="0" borderId="62" xfId="5" applyNumberFormat="1" applyFont="1" applyBorder="1" applyAlignment="1">
      <alignment horizontal="center"/>
    </xf>
    <xf numFmtId="11" fontId="1" fillId="0" borderId="0" xfId="5" applyNumberFormat="1" applyFont="1"/>
    <xf numFmtId="0" fontId="2" fillId="0" borderId="75" xfId="5" applyFont="1" applyFill="1" applyBorder="1"/>
    <xf numFmtId="2" fontId="2" fillId="3" borderId="77" xfId="5" applyNumberFormat="1" applyFont="1" applyFill="1" applyBorder="1" applyAlignment="1">
      <alignment horizontal="center"/>
    </xf>
    <xf numFmtId="2" fontId="2" fillId="3" borderId="62" xfId="5" applyNumberFormat="1" applyFont="1" applyFill="1" applyBorder="1" applyAlignment="1">
      <alignment horizontal="center"/>
    </xf>
    <xf numFmtId="11" fontId="2" fillId="0" borderId="0" xfId="5" applyNumberFormat="1" applyFont="1"/>
    <xf numFmtId="2" fontId="2" fillId="0" borderId="0" xfId="5" applyNumberFormat="1" applyFont="1"/>
    <xf numFmtId="11" fontId="1" fillId="0" borderId="8" xfId="5" applyNumberFormat="1" applyFill="1" applyBorder="1" applyAlignment="1">
      <alignment horizontal="center" wrapText="1"/>
    </xf>
    <xf numFmtId="11" fontId="1" fillId="0" borderId="5" xfId="5" applyNumberFormat="1" applyFill="1" applyBorder="1" applyAlignment="1">
      <alignment horizontal="center" wrapText="1"/>
    </xf>
    <xf numFmtId="2" fontId="1" fillId="0" borderId="5" xfId="5" applyNumberFormat="1" applyFill="1" applyBorder="1" applyAlignment="1">
      <alignment horizontal="center"/>
    </xf>
    <xf numFmtId="0" fontId="2" fillId="0" borderId="78" xfId="5" applyFont="1" applyFill="1" applyBorder="1"/>
    <xf numFmtId="11" fontId="1" fillId="0" borderId="3" xfId="5" applyNumberFormat="1" applyFont="1" applyFill="1" applyBorder="1" applyAlignment="1">
      <alignment horizontal="center"/>
    </xf>
    <xf numFmtId="11" fontId="1" fillId="0" borderId="3" xfId="5" applyNumberFormat="1" applyFill="1" applyBorder="1" applyAlignment="1">
      <alignment horizontal="center"/>
    </xf>
    <xf numFmtId="11" fontId="1" fillId="0" borderId="3" xfId="5" applyNumberFormat="1" applyBorder="1" applyAlignment="1">
      <alignment horizontal="center" wrapText="1"/>
    </xf>
    <xf numFmtId="2" fontId="1" fillId="0" borderId="3" xfId="5" applyNumberFormat="1" applyBorder="1" applyAlignment="1">
      <alignment horizontal="center"/>
    </xf>
    <xf numFmtId="2" fontId="2" fillId="3" borderId="65" xfId="5" applyNumberFormat="1" applyFont="1" applyFill="1" applyBorder="1" applyAlignment="1">
      <alignment horizontal="center"/>
    </xf>
    <xf numFmtId="0" fontId="2" fillId="0" borderId="66" xfId="5" applyFont="1" applyFill="1" applyBorder="1"/>
    <xf numFmtId="11" fontId="1" fillId="0" borderId="67" xfId="5" applyNumberFormat="1" applyFill="1" applyBorder="1" applyAlignment="1">
      <alignment horizontal="center"/>
    </xf>
    <xf numFmtId="11" fontId="1" fillId="0" borderId="67" xfId="5" applyNumberFormat="1" applyBorder="1" applyAlignment="1">
      <alignment horizontal="center" wrapText="1"/>
    </xf>
    <xf numFmtId="4" fontId="1" fillId="0" borderId="67" xfId="5" applyNumberFormat="1" applyBorder="1" applyAlignment="1">
      <alignment horizontal="center"/>
    </xf>
    <xf numFmtId="4" fontId="2" fillId="3" borderId="68" xfId="5" applyNumberFormat="1" applyFont="1" applyFill="1" applyBorder="1" applyAlignment="1">
      <alignment horizontal="center"/>
    </xf>
    <xf numFmtId="0" fontId="2" fillId="0" borderId="69" xfId="5" applyFont="1" applyFill="1" applyBorder="1"/>
    <xf numFmtId="4" fontId="1" fillId="0" borderId="5" xfId="5" applyNumberFormat="1" applyBorder="1" applyAlignment="1">
      <alignment horizontal="center"/>
    </xf>
    <xf numFmtId="4" fontId="2" fillId="3" borderId="62" xfId="5" applyNumberFormat="1" applyFont="1" applyFill="1" applyBorder="1" applyAlignment="1">
      <alignment horizontal="center"/>
    </xf>
    <xf numFmtId="0" fontId="2" fillId="0" borderId="72" xfId="5" applyFont="1" applyFill="1" applyBorder="1"/>
    <xf numFmtId="11" fontId="1" fillId="0" borderId="64" xfId="5" applyNumberFormat="1" applyFont="1" applyFill="1" applyBorder="1" applyAlignment="1">
      <alignment horizontal="center"/>
    </xf>
    <xf numFmtId="11" fontId="1" fillId="0" borderId="64" xfId="5" applyNumberFormat="1" applyFill="1" applyBorder="1" applyAlignment="1">
      <alignment horizontal="center"/>
    </xf>
    <xf numFmtId="4" fontId="1" fillId="0" borderId="64" xfId="5" applyNumberFormat="1" applyBorder="1" applyAlignment="1">
      <alignment horizontal="center"/>
    </xf>
    <xf numFmtId="4" fontId="2" fillId="3" borderId="73" xfId="5" applyNumberFormat="1" applyFont="1" applyFill="1" applyBorder="1" applyAlignment="1">
      <alignment horizontal="center"/>
    </xf>
    <xf numFmtId="0" fontId="1" fillId="0" borderId="59" xfId="5" applyFont="1" applyFill="1" applyBorder="1" applyAlignment="1">
      <alignment horizontal="center" wrapText="1"/>
    </xf>
    <xf numFmtId="0" fontId="1" fillId="0" borderId="79" xfId="5" applyFont="1" applyBorder="1" applyAlignment="1">
      <alignment horizontal="center" wrapText="1"/>
    </xf>
    <xf numFmtId="2" fontId="2" fillId="0" borderId="77" xfId="5" applyNumberFormat="1" applyFont="1" applyBorder="1" applyAlignment="1">
      <alignment horizontal="center"/>
    </xf>
    <xf numFmtId="2" fontId="2" fillId="0" borderId="62" xfId="5" applyNumberFormat="1" applyFont="1" applyBorder="1" applyAlignment="1">
      <alignment horizontal="center"/>
    </xf>
    <xf numFmtId="2" fontId="2" fillId="0" borderId="62" xfId="5" applyNumberFormat="1" applyFont="1" applyFill="1" applyBorder="1" applyAlignment="1">
      <alignment horizontal="center"/>
    </xf>
    <xf numFmtId="2" fontId="2" fillId="0" borderId="65" xfId="5" applyNumberFormat="1" applyFont="1" applyBorder="1" applyAlignment="1">
      <alignment horizontal="center"/>
    </xf>
    <xf numFmtId="3" fontId="1" fillId="0" borderId="67" xfId="5" applyNumberFormat="1" applyBorder="1" applyAlignment="1">
      <alignment horizontal="center"/>
    </xf>
    <xf numFmtId="3" fontId="2" fillId="0" borderId="68" xfId="5" applyNumberFormat="1" applyFont="1" applyBorder="1" applyAlignment="1">
      <alignment horizontal="center"/>
    </xf>
    <xf numFmtId="4" fontId="2" fillId="0" borderId="62" xfId="5" applyNumberFormat="1" applyFont="1" applyBorder="1" applyAlignment="1">
      <alignment horizontal="center"/>
    </xf>
    <xf numFmtId="3" fontId="1" fillId="0" borderId="5" xfId="5" applyNumberFormat="1" applyBorder="1" applyAlignment="1">
      <alignment horizontal="center"/>
    </xf>
    <xf numFmtId="3" fontId="2" fillId="0" borderId="62" xfId="5" applyNumberFormat="1" applyFont="1" applyBorder="1" applyAlignment="1">
      <alignment horizontal="center"/>
    </xf>
    <xf numFmtId="3" fontId="1" fillId="0" borderId="64" xfId="5" applyNumberFormat="1" applyBorder="1" applyAlignment="1">
      <alignment horizontal="center"/>
    </xf>
    <xf numFmtId="3" fontId="2" fillId="0" borderId="73" xfId="5" applyNumberFormat="1" applyFont="1" applyBorder="1" applyAlignment="1">
      <alignment horizontal="center"/>
    </xf>
    <xf numFmtId="0" fontId="1" fillId="0" borderId="0" xfId="5" applyBorder="1" applyAlignment="1">
      <alignment horizontal="left" vertical="center"/>
    </xf>
    <xf numFmtId="0" fontId="1" fillId="0" borderId="0" xfId="5" applyFont="1" applyFill="1"/>
    <xf numFmtId="0" fontId="1" fillId="0" borderId="0" xfId="5" applyFill="1"/>
    <xf numFmtId="0" fontId="1" fillId="3" borderId="0" xfId="5" applyFont="1" applyFill="1"/>
    <xf numFmtId="0" fontId="1" fillId="3" borderId="0" xfId="5" applyFill="1"/>
    <xf numFmtId="0" fontId="1" fillId="0" borderId="58" xfId="5" applyBorder="1" applyAlignment="1">
      <alignment horizontal="center" wrapText="1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/>
    <xf numFmtId="11" fontId="1" fillId="0" borderId="62" xfId="5" applyNumberFormat="1" applyFont="1" applyFill="1" applyBorder="1" applyAlignment="1">
      <alignment horizontal="center"/>
    </xf>
    <xf numFmtId="0" fontId="2" fillId="0" borderId="6" xfId="5" applyFont="1" applyFill="1" applyBorder="1"/>
    <xf numFmtId="11" fontId="2" fillId="0" borderId="62" xfId="5" applyNumberFormat="1" applyFont="1" applyFill="1" applyBorder="1" applyAlignment="1">
      <alignment horizontal="center"/>
    </xf>
    <xf numFmtId="164" fontId="1" fillId="0" borderId="5" xfId="5" applyNumberFormat="1" applyFill="1" applyBorder="1" applyAlignment="1">
      <alignment horizontal="center"/>
    </xf>
    <xf numFmtId="0" fontId="2" fillId="0" borderId="4" xfId="5" applyFont="1" applyFill="1" applyBorder="1"/>
    <xf numFmtId="2" fontId="1" fillId="0" borderId="3" xfId="5" applyNumberFormat="1" applyFill="1" applyBorder="1" applyAlignment="1">
      <alignment horizontal="center"/>
    </xf>
    <xf numFmtId="2" fontId="2" fillId="0" borderId="65" xfId="5" applyNumberFormat="1" applyFont="1" applyFill="1" applyBorder="1" applyAlignment="1">
      <alignment horizontal="center"/>
    </xf>
    <xf numFmtId="3" fontId="1" fillId="0" borderId="67" xfId="5" applyNumberFormat="1" applyFill="1" applyBorder="1" applyAlignment="1">
      <alignment horizontal="center"/>
    </xf>
    <xf numFmtId="3" fontId="2" fillId="0" borderId="68" xfId="5" applyNumberFormat="1" applyFont="1" applyFill="1" applyBorder="1" applyAlignment="1">
      <alignment horizontal="center"/>
    </xf>
    <xf numFmtId="168" fontId="1" fillId="0" borderId="5" xfId="5" applyNumberFormat="1" applyFill="1" applyBorder="1" applyAlignment="1">
      <alignment horizontal="center"/>
    </xf>
    <xf numFmtId="4" fontId="1" fillId="0" borderId="5" xfId="5" applyNumberFormat="1" applyFill="1" applyBorder="1" applyAlignment="1">
      <alignment horizontal="center"/>
    </xf>
    <xf numFmtId="4" fontId="2" fillId="0" borderId="62" xfId="5" applyNumberFormat="1" applyFont="1" applyFill="1" applyBorder="1" applyAlignment="1">
      <alignment horizontal="center"/>
    </xf>
    <xf numFmtId="3" fontId="1" fillId="0" borderId="5" xfId="5" applyNumberFormat="1" applyFill="1" applyBorder="1" applyAlignment="1">
      <alignment horizontal="center"/>
    </xf>
    <xf numFmtId="3" fontId="2" fillId="0" borderId="62" xfId="5" applyNumberFormat="1" applyFont="1" applyFill="1" applyBorder="1" applyAlignment="1">
      <alignment horizontal="center"/>
    </xf>
    <xf numFmtId="0" fontId="1" fillId="0" borderId="64" xfId="5" applyFont="1" applyBorder="1" applyAlignment="1">
      <alignment horizontal="center"/>
    </xf>
    <xf numFmtId="3" fontId="1" fillId="0" borderId="64" xfId="5" applyNumberFormat="1" applyFill="1" applyBorder="1" applyAlignment="1">
      <alignment horizontal="center"/>
    </xf>
    <xf numFmtId="3" fontId="2" fillId="0" borderId="73" xfId="5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0" fontId="1" fillId="0" borderId="0" xfId="0" applyFont="1" applyFill="1" applyBorder="1"/>
    <xf numFmtId="11" fontId="1" fillId="0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0" fillId="6" borderId="84" xfId="0" applyFill="1" applyBorder="1" applyAlignment="1">
      <alignment horizontal="center"/>
    </xf>
    <xf numFmtId="0" fontId="1" fillId="6" borderId="84" xfId="0" applyFont="1" applyFill="1" applyBorder="1" applyAlignment="1">
      <alignment horizontal="center"/>
    </xf>
    <xf numFmtId="2" fontId="1" fillId="6" borderId="23" xfId="0" applyNumberFormat="1" applyFont="1" applyFill="1" applyBorder="1" applyAlignment="1">
      <alignment horizontal="center" vertical="center"/>
    </xf>
    <xf numFmtId="2" fontId="0" fillId="6" borderId="53" xfId="0" applyNumberFormat="1" applyFill="1" applyBorder="1" applyAlignment="1">
      <alignment horizontal="center" vertical="center"/>
    </xf>
    <xf numFmtId="3" fontId="0" fillId="6" borderId="23" xfId="0" applyNumberFormat="1" applyFill="1" applyBorder="1" applyAlignment="1">
      <alignment horizontal="center" vertical="center"/>
    </xf>
    <xf numFmtId="2" fontId="0" fillId="6" borderId="23" xfId="0" applyNumberFormat="1" applyFill="1" applyBorder="1" applyAlignment="1">
      <alignment horizontal="center" vertical="center"/>
    </xf>
    <xf numFmtId="2" fontId="0" fillId="6" borderId="22" xfId="0" applyNumberFormat="1" applyFill="1" applyBorder="1" applyAlignment="1">
      <alignment horizontal="center" vertical="center"/>
    </xf>
    <xf numFmtId="0" fontId="0" fillId="7" borderId="84" xfId="0" applyFill="1" applyBorder="1" applyAlignment="1">
      <alignment horizontal="center"/>
    </xf>
    <xf numFmtId="0" fontId="1" fillId="7" borderId="84" xfId="0" applyFont="1" applyFill="1" applyBorder="1" applyAlignment="1">
      <alignment horizontal="center"/>
    </xf>
    <xf numFmtId="2" fontId="0" fillId="7" borderId="48" xfId="0" applyNumberFormat="1" applyFill="1" applyBorder="1" applyAlignment="1">
      <alignment horizontal="center"/>
    </xf>
    <xf numFmtId="2" fontId="0" fillId="7" borderId="23" xfId="0" applyNumberFormat="1" applyFill="1" applyBorder="1" applyAlignment="1">
      <alignment horizontal="center"/>
    </xf>
    <xf numFmtId="2" fontId="0" fillId="7" borderId="23" xfId="0" applyNumberFormat="1" applyFill="1" applyBorder="1" applyAlignment="1">
      <alignment horizontal="center" vertical="center"/>
    </xf>
    <xf numFmtId="2" fontId="0" fillId="7" borderId="53" xfId="0" applyNumberFormat="1" applyFill="1" applyBorder="1" applyAlignment="1">
      <alignment horizontal="center" vertical="center"/>
    </xf>
    <xf numFmtId="3" fontId="0" fillId="7" borderId="23" xfId="0" applyNumberFormat="1" applyFill="1" applyBorder="1" applyAlignment="1">
      <alignment horizontal="center" vertical="center"/>
    </xf>
    <xf numFmtId="3" fontId="0" fillId="7" borderId="53" xfId="0" applyNumberFormat="1" applyFill="1" applyBorder="1" applyAlignment="1">
      <alignment horizontal="center" vertical="center"/>
    </xf>
    <xf numFmtId="2" fontId="0" fillId="7" borderId="22" xfId="0" applyNumberForma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/>
    </xf>
    <xf numFmtId="2" fontId="0" fillId="7" borderId="40" xfId="0" applyNumberFormat="1" applyFill="1" applyBorder="1" applyAlignment="1">
      <alignment horizontal="center"/>
    </xf>
    <xf numFmtId="2" fontId="8" fillId="7" borderId="40" xfId="0" quotePrefix="1" applyNumberFormat="1" applyFont="1" applyFill="1" applyBorder="1" applyAlignment="1">
      <alignment horizontal="center"/>
    </xf>
    <xf numFmtId="2" fontId="0" fillId="7" borderId="16" xfId="0" applyNumberFormat="1" applyFill="1" applyBorder="1" applyAlignment="1">
      <alignment horizontal="center" vertical="center" wrapText="1"/>
    </xf>
    <xf numFmtId="2" fontId="1" fillId="7" borderId="40" xfId="0" quotePrefix="1" applyNumberFormat="1" applyFont="1" applyFill="1" applyBorder="1" applyAlignment="1">
      <alignment horizontal="center"/>
    </xf>
    <xf numFmtId="2" fontId="0" fillId="7" borderId="40" xfId="0" quotePrefix="1" applyNumberFormat="1" applyFill="1" applyBorder="1" applyAlignment="1">
      <alignment horizontal="center"/>
    </xf>
    <xf numFmtId="2" fontId="0" fillId="7" borderId="0" xfId="0" quotePrefix="1" applyNumberFormat="1" applyFill="1" applyBorder="1" applyAlignment="1">
      <alignment horizontal="center"/>
    </xf>
    <xf numFmtId="3" fontId="0" fillId="7" borderId="5" xfId="0" applyNumberFormat="1" applyFill="1" applyBorder="1" applyAlignment="1">
      <alignment horizontal="center" vertical="center"/>
    </xf>
    <xf numFmtId="3" fontId="0" fillId="7" borderId="21" xfId="0" applyNumberFormat="1" applyFill="1" applyBorder="1" applyAlignment="1">
      <alignment horizontal="center" vertical="center"/>
    </xf>
    <xf numFmtId="2" fontId="8" fillId="7" borderId="21" xfId="0" quotePrefix="1" applyNumberFormat="1" applyFont="1" applyFill="1" applyBorder="1" applyAlignment="1">
      <alignment horizontal="center"/>
    </xf>
    <xf numFmtId="2" fontId="8" fillId="7" borderId="83" xfId="0" quotePrefix="1" applyNumberFormat="1" applyFont="1" applyFill="1" applyBorder="1" applyAlignment="1">
      <alignment horizontal="center"/>
    </xf>
    <xf numFmtId="11" fontId="8" fillId="0" borderId="0" xfId="0" quotePrefix="1" applyNumberFormat="1" applyFon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/>
    <xf numFmtId="0" fontId="8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2" fontId="8" fillId="0" borderId="5" xfId="0" applyNumberFormat="1" applyFont="1" applyFill="1" applyBorder="1" applyAlignment="1">
      <alignment horizontal="center"/>
    </xf>
    <xf numFmtId="0" fontId="2" fillId="0" borderId="66" xfId="0" applyFont="1" applyBorder="1" applyAlignment="1">
      <alignment horizontal="center" wrapText="1"/>
    </xf>
    <xf numFmtId="0" fontId="2" fillId="0" borderId="67" xfId="0" applyFont="1" applyBorder="1" applyAlignment="1">
      <alignment horizontal="center" wrapText="1"/>
    </xf>
    <xf numFmtId="0" fontId="2" fillId="0" borderId="68" xfId="0" applyFont="1" applyBorder="1" applyAlignment="1">
      <alignment horizontal="center" wrapText="1"/>
    </xf>
    <xf numFmtId="11" fontId="0" fillId="4" borderId="62" xfId="0" applyNumberFormat="1" applyFill="1" applyBorder="1" applyAlignment="1">
      <alignment horizontal="center"/>
    </xf>
    <xf numFmtId="11" fontId="8" fillId="4" borderId="62" xfId="0" applyNumberFormat="1" applyFont="1" applyFill="1" applyBorder="1" applyAlignment="1">
      <alignment horizontal="center"/>
    </xf>
    <xf numFmtId="2" fontId="2" fillId="4" borderId="62" xfId="0" applyNumberFormat="1" applyFont="1" applyFill="1" applyBorder="1" applyAlignment="1">
      <alignment horizontal="center"/>
    </xf>
    <xf numFmtId="11" fontId="2" fillId="4" borderId="62" xfId="0" applyNumberFormat="1" applyFont="1" applyFill="1" applyBorder="1" applyAlignment="1">
      <alignment horizontal="center"/>
    </xf>
    <xf numFmtId="3" fontId="2" fillId="4" borderId="62" xfId="0" applyNumberFormat="1" applyFont="1" applyFill="1" applyBorder="1" applyAlignment="1">
      <alignment horizontal="center"/>
    </xf>
    <xf numFmtId="0" fontId="2" fillId="0" borderId="64" xfId="0" applyFont="1" applyFill="1" applyBorder="1"/>
    <xf numFmtId="11" fontId="8" fillId="0" borderId="64" xfId="0" quotePrefix="1" applyNumberFormat="1" applyFont="1" applyFill="1" applyBorder="1" applyAlignment="1">
      <alignment horizontal="center"/>
    </xf>
    <xf numFmtId="3" fontId="0" fillId="0" borderId="64" xfId="0" applyNumberFormat="1" applyFill="1" applyBorder="1" applyAlignment="1">
      <alignment horizontal="center"/>
    </xf>
    <xf numFmtId="3" fontId="0" fillId="4" borderId="64" xfId="0" applyNumberFormat="1" applyFill="1" applyBorder="1" applyAlignment="1">
      <alignment horizontal="center"/>
    </xf>
    <xf numFmtId="3" fontId="2" fillId="4" borderId="73" xfId="0" applyNumberFormat="1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2" fontId="0" fillId="6" borderId="48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0" fontId="8" fillId="0" borderId="0" xfId="0" applyNumberFormat="1" applyFont="1" applyBorder="1"/>
    <xf numFmtId="170" fontId="8" fillId="0" borderId="0" xfId="0" applyNumberFormat="1" applyFont="1" applyFill="1" applyBorder="1"/>
    <xf numFmtId="2" fontId="2" fillId="4" borderId="77" xfId="0" applyNumberFormat="1" applyFont="1" applyFill="1" applyBorder="1" applyAlignment="1">
      <alignment horizontal="center"/>
    </xf>
    <xf numFmtId="3" fontId="2" fillId="4" borderId="77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3" fontId="1" fillId="4" borderId="64" xfId="0" applyNumberFormat="1" applyFont="1" applyFill="1" applyBorder="1" applyAlignment="1">
      <alignment horizontal="center"/>
    </xf>
    <xf numFmtId="3" fontId="2" fillId="4" borderId="88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33" xfId="0" applyNumberFormat="1" applyFill="1" applyBorder="1" applyAlignment="1">
      <alignment horizontal="center" vertical="center"/>
    </xf>
    <xf numFmtId="3" fontId="0" fillId="6" borderId="33" xfId="0" applyNumberFormat="1" applyFill="1" applyBorder="1" applyAlignment="1">
      <alignment horizontal="center" vertical="center"/>
    </xf>
    <xf numFmtId="2" fontId="0" fillId="6" borderId="12" xfId="0" applyNumberFormat="1" applyFill="1" applyBorder="1" applyAlignment="1">
      <alignment horizontal="center" vertical="center"/>
    </xf>
    <xf numFmtId="3" fontId="0" fillId="6" borderId="5" xfId="0" applyNumberFormat="1" applyFill="1" applyBorder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2" fontId="0" fillId="7" borderId="6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 vertical="center"/>
    </xf>
    <xf numFmtId="2" fontId="0" fillId="7" borderId="33" xfId="0" applyNumberFormat="1" applyFill="1" applyBorder="1" applyAlignment="1">
      <alignment horizontal="center" vertical="center"/>
    </xf>
    <xf numFmtId="3" fontId="0" fillId="7" borderId="33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2" fontId="2" fillId="5" borderId="89" xfId="0" applyNumberFormat="1" applyFont="1" applyFill="1" applyBorder="1" applyAlignment="1">
      <alignment horizontal="center"/>
    </xf>
    <xf numFmtId="2" fontId="2" fillId="2" borderId="89" xfId="0" applyNumberFormat="1" applyFont="1" applyFill="1" applyBorder="1" applyAlignment="1">
      <alignment horizontal="center"/>
    </xf>
    <xf numFmtId="2" fontId="21" fillId="0" borderId="0" xfId="0" applyNumberFormat="1" applyFont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2" fillId="0" borderId="66" xfId="0" applyFont="1" applyFill="1" applyBorder="1"/>
    <xf numFmtId="0" fontId="2" fillId="0" borderId="69" xfId="0" applyFont="1" applyFill="1" applyBorder="1"/>
    <xf numFmtId="0" fontId="2" fillId="0" borderId="72" xfId="0" applyFont="1" applyFill="1" applyBorder="1"/>
    <xf numFmtId="0" fontId="1" fillId="0" borderId="0" xfId="0" applyFont="1" applyAlignment="1">
      <alignment horizontal="center"/>
    </xf>
    <xf numFmtId="3" fontId="1" fillId="4" borderId="68" xfId="0" applyNumberFormat="1" applyFont="1" applyFill="1" applyBorder="1" applyAlignment="1">
      <alignment horizontal="center"/>
    </xf>
    <xf numFmtId="2" fontId="1" fillId="4" borderId="62" xfId="0" applyNumberFormat="1" applyFont="1" applyFill="1" applyBorder="1" applyAlignment="1">
      <alignment horizontal="center"/>
    </xf>
    <xf numFmtId="3" fontId="1" fillId="4" borderId="62" xfId="0" applyNumberFormat="1" applyFont="1" applyFill="1" applyBorder="1" applyAlignment="1">
      <alignment horizontal="center"/>
    </xf>
    <xf numFmtId="3" fontId="1" fillId="4" borderId="73" xfId="0" applyNumberFormat="1" applyFont="1" applyFill="1" applyBorder="1" applyAlignment="1">
      <alignment horizontal="center"/>
    </xf>
    <xf numFmtId="3" fontId="0" fillId="4" borderId="91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  <xf numFmtId="0" fontId="2" fillId="0" borderId="92" xfId="0" applyFont="1" applyFill="1" applyBorder="1"/>
    <xf numFmtId="3" fontId="0" fillId="4" borderId="8" xfId="0" applyNumberFormat="1" applyFill="1" applyBorder="1" applyAlignment="1">
      <alignment horizontal="center"/>
    </xf>
    <xf numFmtId="3" fontId="1" fillId="4" borderId="70" xfId="0" applyNumberFormat="1" applyFont="1" applyFill="1" applyBorder="1" applyAlignment="1">
      <alignment horizontal="center"/>
    </xf>
    <xf numFmtId="0" fontId="0" fillId="0" borderId="93" xfId="0" applyBorder="1"/>
    <xf numFmtId="0" fontId="1" fillId="0" borderId="94" xfId="0" applyFont="1" applyBorder="1" applyAlignment="1">
      <alignment horizontal="center"/>
    </xf>
    <xf numFmtId="0" fontId="1" fillId="0" borderId="90" xfId="0" applyFont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5" xfId="0" applyNumberFormat="1" applyBorder="1" applyAlignment="1">
      <alignment horizontal="center"/>
    </xf>
    <xf numFmtId="11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11" fontId="0" fillId="0" borderId="69" xfId="0" applyNumberFormat="1" applyBorder="1" applyAlignment="1">
      <alignment horizontal="center"/>
    </xf>
    <xf numFmtId="11" fontId="2" fillId="0" borderId="62" xfId="0" applyNumberFormat="1" applyFont="1" applyBorder="1" applyAlignment="1">
      <alignment horizontal="center"/>
    </xf>
    <xf numFmtId="11" fontId="0" fillId="0" borderId="72" xfId="0" applyNumberFormat="1" applyBorder="1" applyAlignment="1">
      <alignment horizontal="center"/>
    </xf>
    <xf numFmtId="11" fontId="0" fillId="0" borderId="64" xfId="0" applyNumberFormat="1" applyBorder="1" applyAlignment="1">
      <alignment horizontal="center"/>
    </xf>
    <xf numFmtId="11" fontId="2" fillId="0" borderId="64" xfId="0" applyNumberFormat="1" applyFont="1" applyBorder="1" applyAlignment="1">
      <alignment horizontal="center"/>
    </xf>
    <xf numFmtId="11" fontId="2" fillId="0" borderId="73" xfId="0" applyNumberFormat="1" applyFont="1" applyBorder="1" applyAlignment="1">
      <alignment horizontal="center"/>
    </xf>
    <xf numFmtId="0" fontId="2" fillId="0" borderId="66" xfId="0" applyFont="1" applyBorder="1"/>
    <xf numFmtId="0" fontId="8" fillId="0" borderId="69" xfId="0" applyFont="1" applyFill="1" applyBorder="1"/>
    <xf numFmtId="0" fontId="1" fillId="0" borderId="62" xfId="0" applyFont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8" fillId="0" borderId="69" xfId="0" applyFont="1" applyBorder="1"/>
    <xf numFmtId="0" fontId="1" fillId="0" borderId="69" xfId="0" applyFont="1" applyFill="1" applyBorder="1"/>
    <xf numFmtId="0" fontId="8" fillId="0" borderId="72" xfId="0" applyFont="1" applyFill="1" applyBorder="1"/>
    <xf numFmtId="0" fontId="1" fillId="0" borderId="73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1" fillId="0" borderId="92" xfId="0" applyFont="1" applyFill="1" applyBorder="1"/>
    <xf numFmtId="0" fontId="1" fillId="0" borderId="70" xfId="0" applyFont="1" applyFill="1" applyBorder="1" applyAlignment="1">
      <alignment horizontal="center"/>
    </xf>
    <xf numFmtId="11" fontId="0" fillId="0" borderId="92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11" fontId="2" fillId="0" borderId="8" xfId="0" applyNumberFormat="1" applyFont="1" applyBorder="1" applyAlignment="1">
      <alignment horizontal="center"/>
    </xf>
    <xf numFmtId="11" fontId="2" fillId="0" borderId="70" xfId="0" applyNumberFormat="1" applyFont="1" applyBorder="1" applyAlignment="1">
      <alignment horizontal="center"/>
    </xf>
    <xf numFmtId="0" fontId="1" fillId="0" borderId="73" xfId="0" applyFont="1" applyFill="1" applyBorder="1" applyAlignment="1">
      <alignment horizontal="center"/>
    </xf>
    <xf numFmtId="0" fontId="8" fillId="0" borderId="92" xfId="0" applyFont="1" applyFill="1" applyBorder="1"/>
    <xf numFmtId="0" fontId="8" fillId="0" borderId="72" xfId="0" applyFont="1" applyBorder="1"/>
    <xf numFmtId="0" fontId="1" fillId="0" borderId="70" xfId="0" applyFont="1" applyBorder="1" applyAlignment="1">
      <alignment horizontal="center"/>
    </xf>
    <xf numFmtId="0" fontId="1" fillId="0" borderId="72" xfId="0" applyFont="1" applyFill="1" applyBorder="1"/>
    <xf numFmtId="0" fontId="8" fillId="0" borderId="95" xfId="0" applyFont="1" applyFill="1" applyBorder="1"/>
    <xf numFmtId="0" fontId="1" fillId="0" borderId="96" xfId="0" applyFont="1" applyBorder="1" applyAlignment="1">
      <alignment horizontal="center"/>
    </xf>
    <xf numFmtId="11" fontId="0" fillId="0" borderId="95" xfId="0" applyNumberFormat="1" applyBorder="1" applyAlignment="1">
      <alignment horizontal="center"/>
    </xf>
    <xf numFmtId="11" fontId="0" fillId="0" borderId="97" xfId="0" applyNumberFormat="1" applyBorder="1" applyAlignment="1">
      <alignment horizontal="center"/>
    </xf>
    <xf numFmtId="11" fontId="2" fillId="0" borderId="97" xfId="0" applyNumberFormat="1" applyFont="1" applyBorder="1" applyAlignment="1">
      <alignment horizontal="center"/>
    </xf>
    <xf numFmtId="11" fontId="2" fillId="0" borderId="96" xfId="0" applyNumberFormat="1" applyFont="1" applyBorder="1" applyAlignment="1">
      <alignment horizontal="center"/>
    </xf>
    <xf numFmtId="11" fontId="1" fillId="0" borderId="0" xfId="5" applyNumberFormat="1" applyBorder="1"/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48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8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69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11" fontId="0" fillId="0" borderId="3" xfId="0" applyNumberFormat="1" applyFill="1" applyBorder="1" applyAlignment="1">
      <alignment horizontal="center" vertical="center" wrapText="1"/>
    </xf>
    <xf numFmtId="11" fontId="0" fillId="0" borderId="37" xfId="0" applyNumberFormat="1" applyFill="1" applyBorder="1" applyAlignment="1">
      <alignment horizontal="center" vertical="center" wrapText="1"/>
    </xf>
    <xf numFmtId="11" fontId="0" fillId="0" borderId="8" xfId="0" applyNumberFormat="1" applyFill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0" borderId="52" xfId="0" applyFont="1" applyBorder="1" applyAlignment="1">
      <alignment horizontal="left" wrapText="1"/>
    </xf>
    <xf numFmtId="0" fontId="0" fillId="0" borderId="52" xfId="0" applyBorder="1" applyAlignment="1">
      <alignment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8" fillId="0" borderId="52" xfId="0" applyFont="1" applyBorder="1" applyAlignment="1">
      <alignment horizontal="left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3" fontId="0" fillId="0" borderId="28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2" fillId="0" borderId="39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4" fillId="0" borderId="4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42" xfId="2" applyFont="1" applyBorder="1" applyAlignment="1">
      <alignment horizontal="center"/>
    </xf>
    <xf numFmtId="0" fontId="2" fillId="0" borderId="43" xfId="2" applyFont="1" applyBorder="1" applyAlignment="1">
      <alignment horizontal="center"/>
    </xf>
    <xf numFmtId="0" fontId="2" fillId="0" borderId="51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50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44" xfId="2" applyFont="1" applyBorder="1" applyAlignment="1">
      <alignment horizontal="center" wrapText="1"/>
    </xf>
    <xf numFmtId="0" fontId="2" fillId="0" borderId="45" xfId="2" applyFont="1" applyBorder="1" applyAlignment="1">
      <alignment horizontal="center" wrapText="1"/>
    </xf>
    <xf numFmtId="0" fontId="2" fillId="0" borderId="46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3" fontId="0" fillId="0" borderId="28" xfId="0" applyNumberFormat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0" fontId="2" fillId="0" borderId="47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wrapText="1"/>
    </xf>
    <xf numFmtId="0" fontId="2" fillId="2" borderId="55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3" fontId="0" fillId="0" borderId="8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/>
    </xf>
    <xf numFmtId="0" fontId="2" fillId="0" borderId="46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9" fillId="0" borderId="42" xfId="2" applyFont="1" applyBorder="1" applyAlignment="1">
      <alignment horizontal="center"/>
    </xf>
    <xf numFmtId="0" fontId="9" fillId="0" borderId="43" xfId="2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1" fillId="0" borderId="5" xfId="5" applyFont="1" applyBorder="1" applyAlignment="1">
      <alignment horizontal="center" vertical="center" wrapText="1"/>
    </xf>
    <xf numFmtId="0" fontId="1" fillId="0" borderId="61" xfId="5" applyFont="1" applyBorder="1" applyAlignment="1">
      <alignment horizontal="center" vertical="center" wrapText="1"/>
    </xf>
    <xf numFmtId="0" fontId="1" fillId="0" borderId="63" xfId="5" applyFont="1" applyBorder="1" applyAlignment="1">
      <alignment horizontal="center" vertical="center" wrapText="1"/>
    </xf>
    <xf numFmtId="0" fontId="1" fillId="0" borderId="71" xfId="5" applyFont="1" applyBorder="1" applyAlignment="1">
      <alignment horizontal="center" vertical="center" wrapText="1"/>
    </xf>
  </cellXfs>
  <cellStyles count="7">
    <cellStyle name="Comma" xfId="1" builtinId="3"/>
    <cellStyle name="Comma 2" xfId="4"/>
    <cellStyle name="Normal" xfId="0" builtinId="0"/>
    <cellStyle name="Normal 2" xfId="5"/>
    <cellStyle name="Normal 3" xfId="3"/>
    <cellStyle name="Normal_Sheet1" xfId="2"/>
    <cellStyle name="Percent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3"/>
  <sheetViews>
    <sheetView view="pageBreakPreview" topLeftCell="B7" zoomScaleNormal="110" zoomScaleSheetLayoutView="100" workbookViewId="0">
      <selection activeCell="R27" sqref="R27"/>
    </sheetView>
  </sheetViews>
  <sheetFormatPr defaultRowHeight="12.75" x14ac:dyDescent="0.2"/>
  <cols>
    <col min="1" max="1" width="10.7109375" customWidth="1"/>
    <col min="2" max="2" width="7.140625" bestFit="1" customWidth="1"/>
    <col min="3" max="3" width="7.7109375" style="1" bestFit="1" customWidth="1"/>
    <col min="4" max="4" width="8.7109375" style="1" bestFit="1" customWidth="1"/>
    <col min="5" max="5" width="8" style="1" bestFit="1" customWidth="1"/>
    <col min="6" max="6" width="9" style="1" bestFit="1" customWidth="1"/>
    <col min="7" max="7" width="7.7109375" style="1" bestFit="1" customWidth="1"/>
    <col min="8" max="9" width="8.7109375" style="1" bestFit="1" customWidth="1"/>
    <col min="10" max="10" width="10.42578125" style="1" bestFit="1" customWidth="1"/>
    <col min="11" max="11" width="8" style="1" bestFit="1" customWidth="1"/>
    <col min="12" max="12" width="9.42578125" style="1" bestFit="1" customWidth="1"/>
    <col min="13" max="13" width="6.7109375" style="1" bestFit="1" customWidth="1"/>
    <col min="14" max="14" width="8.42578125" style="1" bestFit="1" customWidth="1"/>
    <col min="15" max="15" width="6.85546875" style="1" bestFit="1" customWidth="1"/>
    <col min="16" max="16" width="8" style="1" bestFit="1" customWidth="1"/>
    <col min="17" max="18" width="9.42578125" style="1" bestFit="1" customWidth="1"/>
    <col min="19" max="19" width="7" style="1" bestFit="1" customWidth="1"/>
    <col min="20" max="20" width="6.85546875" style="1" bestFit="1" customWidth="1"/>
    <col min="21" max="21" width="6.7109375" style="1" bestFit="1" customWidth="1"/>
    <col min="22" max="22" width="7" style="1" bestFit="1" customWidth="1"/>
  </cols>
  <sheetData>
    <row r="1" spans="1:35" ht="18" x14ac:dyDescent="0.25">
      <c r="A1" s="528" t="s">
        <v>277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</row>
    <row r="2" spans="1:35" ht="15.75" x14ac:dyDescent="0.25">
      <c r="A2" s="529" t="s">
        <v>276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</row>
    <row r="3" spans="1:35" ht="13.5" thickBot="1" x14ac:dyDescent="0.25">
      <c r="C3" s="215"/>
    </row>
    <row r="4" spans="1:35" s="11" customFormat="1" ht="13.5" thickTop="1" x14ac:dyDescent="0.2">
      <c r="A4" s="12"/>
      <c r="B4" s="12"/>
      <c r="C4" s="525" t="s">
        <v>19</v>
      </c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527"/>
    </row>
    <row r="5" spans="1:35" s="11" customFormat="1" ht="14.25" x14ac:dyDescent="0.25">
      <c r="A5" s="192" t="s">
        <v>296</v>
      </c>
      <c r="B5" s="192" t="s">
        <v>298</v>
      </c>
      <c r="C5" s="530" t="s">
        <v>18</v>
      </c>
      <c r="D5" s="531"/>
      <c r="E5" s="531" t="s">
        <v>17</v>
      </c>
      <c r="F5" s="531"/>
      <c r="G5" s="531" t="s">
        <v>16</v>
      </c>
      <c r="H5" s="531"/>
      <c r="I5" s="531" t="s">
        <v>253</v>
      </c>
      <c r="J5" s="531"/>
      <c r="K5" s="531" t="s">
        <v>178</v>
      </c>
      <c r="L5" s="531"/>
      <c r="M5" s="531" t="s">
        <v>215</v>
      </c>
      <c r="N5" s="531"/>
      <c r="O5" s="531" t="s">
        <v>15</v>
      </c>
      <c r="P5" s="531"/>
      <c r="Q5" s="532" t="s">
        <v>254</v>
      </c>
      <c r="R5" s="532"/>
      <c r="S5" s="533" t="s">
        <v>266</v>
      </c>
      <c r="T5" s="534"/>
      <c r="U5" s="531" t="s">
        <v>255</v>
      </c>
      <c r="V5" s="535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</row>
    <row r="6" spans="1:35" ht="13.5" thickBot="1" x14ac:dyDescent="0.25">
      <c r="A6" s="191" t="s">
        <v>297</v>
      </c>
      <c r="B6" s="191" t="s">
        <v>299</v>
      </c>
      <c r="C6" s="10" t="s">
        <v>14</v>
      </c>
      <c r="D6" s="9" t="s">
        <v>316</v>
      </c>
      <c r="E6" s="9" t="s">
        <v>14</v>
      </c>
      <c r="F6" s="9" t="s">
        <v>316</v>
      </c>
      <c r="G6" s="9" t="s">
        <v>14</v>
      </c>
      <c r="H6" s="9" t="s">
        <v>316</v>
      </c>
      <c r="I6" s="9" t="s">
        <v>14</v>
      </c>
      <c r="J6" s="9" t="s">
        <v>316</v>
      </c>
      <c r="K6" s="9" t="s">
        <v>14</v>
      </c>
      <c r="L6" s="9" t="s">
        <v>316</v>
      </c>
      <c r="M6" s="9" t="s">
        <v>14</v>
      </c>
      <c r="N6" s="9" t="s">
        <v>316</v>
      </c>
      <c r="O6" s="9" t="s">
        <v>14</v>
      </c>
      <c r="P6" s="9" t="s">
        <v>316</v>
      </c>
      <c r="Q6" s="9" t="s">
        <v>14</v>
      </c>
      <c r="R6" s="9" t="s">
        <v>316</v>
      </c>
      <c r="S6" s="9" t="s">
        <v>14</v>
      </c>
      <c r="T6" s="9" t="s">
        <v>316</v>
      </c>
      <c r="U6" s="9" t="s">
        <v>14</v>
      </c>
      <c r="V6" s="8" t="s">
        <v>316</v>
      </c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</row>
    <row r="7" spans="1:35" ht="14.25" thickTop="1" thickBot="1" x14ac:dyDescent="0.25">
      <c r="A7" s="479" t="s">
        <v>307</v>
      </c>
      <c r="B7" s="192"/>
      <c r="C7" s="423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189"/>
      <c r="Q7" s="424"/>
      <c r="R7" s="189"/>
      <c r="S7" s="189"/>
      <c r="T7" s="189"/>
      <c r="U7" s="424"/>
      <c r="V7" s="425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</row>
    <row r="8" spans="1:35" s="126" customFormat="1" ht="13.5" customHeight="1" thickTop="1" x14ac:dyDescent="0.2">
      <c r="A8" s="375" t="s">
        <v>11</v>
      </c>
      <c r="B8" s="376" t="s">
        <v>279</v>
      </c>
      <c r="C8" s="426">
        <f>'Combustion (Existing Calcs)'!K51</f>
        <v>5.8129800000000005</v>
      </c>
      <c r="D8" s="380">
        <f>'Combustion (Existing Calcs)'!M51</f>
        <v>25.460852400000004</v>
      </c>
      <c r="E8" s="380">
        <f>'Combustion (Existing Calcs)'!K52</f>
        <v>4.9974900000000009</v>
      </c>
      <c r="F8" s="380">
        <f>'Combustion (Existing Calcs)'!M52</f>
        <v>21.889006200000004</v>
      </c>
      <c r="G8" s="380">
        <f>'Combustion (Existing Calcs)'!K53</f>
        <v>3.2549900000000007</v>
      </c>
      <c r="H8" s="380">
        <f>'Combustion (Existing Calcs)'!M53</f>
        <v>14.256856200000003</v>
      </c>
      <c r="I8" s="380">
        <f>'Combustion (Existing Calcs)'!K54</f>
        <v>80.070000000000007</v>
      </c>
      <c r="J8" s="380">
        <f>'Combustion (Existing Calcs)'!M54</f>
        <v>350.70660000000004</v>
      </c>
      <c r="K8" s="380">
        <f>'Combustion (Existing Calcs)'!K55</f>
        <v>18.700000000000003</v>
      </c>
      <c r="L8" s="380">
        <f>'Combustion (Existing Calcs)'!M55</f>
        <v>81.90600000000002</v>
      </c>
      <c r="M8" s="380">
        <f>'Combustion (Existing Calcs)'!K57</f>
        <v>4.2</v>
      </c>
      <c r="N8" s="380">
        <f>'Combustion (Existing Calcs)'!M57</f>
        <v>18.396000000000001</v>
      </c>
      <c r="O8" s="377">
        <f>'Combustion (Existing Calcs)'!K56</f>
        <v>0.27500000000000002</v>
      </c>
      <c r="P8" s="377">
        <f>'Combustion (Existing Calcs)'!M56</f>
        <v>1.2044999999999999</v>
      </c>
      <c r="Q8" s="379">
        <f>'Combustion (Existing Calcs)'!K62</f>
        <v>8994.7007740805584</v>
      </c>
      <c r="R8" s="379">
        <f>'Combustion (Existing Calcs)'!M62</f>
        <v>39396.789390472863</v>
      </c>
      <c r="S8" s="378">
        <f>'Combustion (Existing Calcs)'!K28</f>
        <v>9.0000000000000011E-2</v>
      </c>
      <c r="T8" s="378">
        <f>'Combustion (Existing Calcs)'!M28</f>
        <v>0.39420000000000005</v>
      </c>
      <c r="U8" s="380">
        <f>'Combustion (Existing Calcs)'!K49</f>
        <v>9.4720349999999995E-2</v>
      </c>
      <c r="V8" s="381">
        <f>'Combustion (Existing Calcs)'!M49</f>
        <v>0.41487513300000001</v>
      </c>
      <c r="X8" s="429"/>
      <c r="Y8" s="429"/>
      <c r="Z8" s="429"/>
      <c r="AA8" s="429"/>
      <c r="AB8" s="428"/>
      <c r="AC8" s="428"/>
      <c r="AD8" s="430"/>
      <c r="AE8" s="430"/>
      <c r="AF8" s="428"/>
      <c r="AG8" s="428"/>
      <c r="AH8" s="428"/>
      <c r="AI8" s="428"/>
    </row>
    <row r="9" spans="1:35" s="126" customFormat="1" x14ac:dyDescent="0.2">
      <c r="A9" s="440" t="s">
        <v>10</v>
      </c>
      <c r="B9" s="441" t="s">
        <v>280</v>
      </c>
      <c r="C9" s="442">
        <f>'Combustion (Existing Calcs)'!G112+'EU002'!F36</f>
        <v>1.4255436675580915</v>
      </c>
      <c r="D9" s="443">
        <f>'Combustion (Existing Calcs)'!I112+'EU002'!G36</f>
        <v>6.2438812639044405</v>
      </c>
      <c r="E9" s="443">
        <f>'Combustion (Existing Calcs)'!G113+'EU002'!F37</f>
        <v>1.2572549019607844</v>
      </c>
      <c r="F9" s="443">
        <f>'Combustion (Existing Calcs)'!I113+'EU002'!G37</f>
        <v>5.5067764705882345</v>
      </c>
      <c r="G9" s="443">
        <f>'Combustion (Existing Calcs)'!G114+'EU002'!F38</f>
        <v>0.73716354668005557</v>
      </c>
      <c r="H9" s="443">
        <f>'Combustion (Existing Calcs)'!I114+'EU002'!G38</f>
        <v>3.2287763344586433</v>
      </c>
      <c r="I9" s="443">
        <f>'Combustion (Existing Calcs)'!G115</f>
        <v>2.5356237277240106</v>
      </c>
      <c r="J9" s="443">
        <f>'Combustion (Existing Calcs)'!I115</f>
        <v>11.106031927431166</v>
      </c>
      <c r="K9" s="443">
        <f>'Combustion (Existing Calcs)'!G116</f>
        <v>0.71426020499267895</v>
      </c>
      <c r="L9" s="443">
        <f>'Combustion (Existing Calcs)'!I116</f>
        <v>3.1284596978679335</v>
      </c>
      <c r="M9" s="443">
        <f>'Combustion (Existing Calcs)'!G118</f>
        <v>0.41176470588235292</v>
      </c>
      <c r="N9" s="443">
        <f>'Combustion (Existing Calcs)'!I118</f>
        <v>1.8035294117647058</v>
      </c>
      <c r="O9" s="444">
        <f>'Combustion (Existing Calcs)'!G117+'EU002'!F39</f>
        <v>0.11696078431372549</v>
      </c>
      <c r="P9" s="445">
        <f>'Combustion (Existing Calcs)'!I117+'EU002'!G39</f>
        <v>0.5122882352941176</v>
      </c>
      <c r="Q9" s="446">
        <f>'Combustion (Existing Calcs)'!G123</f>
        <v>799.98003052762147</v>
      </c>
      <c r="R9" s="446">
        <f>'Combustion (Existing Calcs)'!I123</f>
        <v>3503.9125337109817</v>
      </c>
      <c r="S9" s="445">
        <f>'Combustion (Existing Calcs)'!G89</f>
        <v>8.8235294117647058E-3</v>
      </c>
      <c r="T9" s="445">
        <f>'Combustion (Existing Calcs)'!I89</f>
        <v>3.8647058823529416E-2</v>
      </c>
      <c r="U9" s="444">
        <f>'Combustion (Existing Calcs)'!G110</f>
        <v>9.2696421568627448E-3</v>
      </c>
      <c r="V9" s="447">
        <f>'Combustion (Existing Calcs)'!I110</f>
        <v>4.0601032647058825E-2</v>
      </c>
      <c r="X9" s="429"/>
    </row>
    <row r="10" spans="1:35" s="126" customFormat="1" x14ac:dyDescent="0.2">
      <c r="A10" s="194" t="s">
        <v>9</v>
      </c>
      <c r="B10" s="195" t="s">
        <v>301</v>
      </c>
      <c r="C10" s="196">
        <f>'EU003'!E52</f>
        <v>1.0555000000000001</v>
      </c>
      <c r="D10" s="118">
        <f>'EU003'!F52</f>
        <v>4.6230900000000004</v>
      </c>
      <c r="E10" s="118">
        <f>'EU003'!E53</f>
        <v>1.0160750000000001</v>
      </c>
      <c r="F10" s="118">
        <f>'EU003'!F53</f>
        <v>4.4504085</v>
      </c>
      <c r="G10" s="118">
        <f>'EU003'!E54</f>
        <v>0.9668500000000001</v>
      </c>
      <c r="H10" s="118">
        <f>'EU003'!F54</f>
        <v>4.2348030000000003</v>
      </c>
      <c r="I10" s="197" t="s">
        <v>268</v>
      </c>
      <c r="J10" s="197" t="s">
        <v>268</v>
      </c>
      <c r="K10" s="197" t="s">
        <v>268</v>
      </c>
      <c r="L10" s="197" t="s">
        <v>268</v>
      </c>
      <c r="M10" s="198" t="s">
        <v>268</v>
      </c>
      <c r="N10" s="198" t="s">
        <v>268</v>
      </c>
      <c r="O10" s="150">
        <f>'EU003'!E55</f>
        <v>0.17</v>
      </c>
      <c r="P10" s="160">
        <f>'EU003'!F55</f>
        <v>0.74460000000000004</v>
      </c>
      <c r="Q10" s="197" t="s">
        <v>268</v>
      </c>
      <c r="R10" s="197" t="s">
        <v>268</v>
      </c>
      <c r="S10" s="197" t="s">
        <v>268</v>
      </c>
      <c r="T10" s="197" t="s">
        <v>268</v>
      </c>
      <c r="U10" s="197" t="s">
        <v>268</v>
      </c>
      <c r="V10" s="199" t="s">
        <v>268</v>
      </c>
    </row>
    <row r="11" spans="1:35" s="126" customFormat="1" x14ac:dyDescent="0.2">
      <c r="A11" s="194" t="s">
        <v>8</v>
      </c>
      <c r="B11" s="195" t="s">
        <v>302</v>
      </c>
      <c r="C11" s="196">
        <f>'EU005'!M9</f>
        <v>7.1999999999999998E-3</v>
      </c>
      <c r="D11" s="118">
        <f>'EU005'!N9</f>
        <v>3.1536000000000002E-2</v>
      </c>
      <c r="E11" s="100">
        <f>'EU005'!M10</f>
        <v>4.5999999999999999E-3</v>
      </c>
      <c r="F11" s="118">
        <f>'EU005'!N10</f>
        <v>2.0147999999999999E-2</v>
      </c>
      <c r="G11" s="100">
        <f>'EU005'!M11</f>
        <v>4.5999999999999999E-3</v>
      </c>
      <c r="H11" s="118">
        <f>'EU005'!N11</f>
        <v>2.0147999999999999E-2</v>
      </c>
      <c r="I11" s="197" t="s">
        <v>268</v>
      </c>
      <c r="J11" s="197" t="s">
        <v>268</v>
      </c>
      <c r="K11" s="197" t="s">
        <v>268</v>
      </c>
      <c r="L11" s="197" t="s">
        <v>268</v>
      </c>
      <c r="M11" s="198" t="s">
        <v>268</v>
      </c>
      <c r="N11" s="198" t="s">
        <v>268</v>
      </c>
      <c r="O11" s="197" t="s">
        <v>268</v>
      </c>
      <c r="P11" s="197" t="s">
        <v>268</v>
      </c>
      <c r="Q11" s="197" t="s">
        <v>268</v>
      </c>
      <c r="R11" s="197" t="s">
        <v>268</v>
      </c>
      <c r="S11" s="197" t="s">
        <v>268</v>
      </c>
      <c r="T11" s="197" t="s">
        <v>268</v>
      </c>
      <c r="U11" s="197" t="s">
        <v>268</v>
      </c>
      <c r="V11" s="199" t="s">
        <v>268</v>
      </c>
    </row>
    <row r="12" spans="1:35" s="126" customFormat="1" x14ac:dyDescent="0.2">
      <c r="A12" s="440" t="s">
        <v>7</v>
      </c>
      <c r="B12" s="441" t="s">
        <v>281</v>
      </c>
      <c r="C12" s="442">
        <f>'Combustion (Existing Calcs)'!G172</f>
        <v>0.25113388807542586</v>
      </c>
      <c r="D12" s="443">
        <f>'Combustion (Existing Calcs)'!I172</f>
        <v>1.0999664297703653</v>
      </c>
      <c r="E12" s="443">
        <f>'Combustion (Existing Calcs)'!G173</f>
        <v>0.13098823529411763</v>
      </c>
      <c r="F12" s="443">
        <f>'Combustion (Existing Calcs)'!I173</f>
        <v>0.57372847058823517</v>
      </c>
      <c r="G12" s="443">
        <f>'Combustion (Existing Calcs)'!G174</f>
        <v>3.1391736009428232E-2</v>
      </c>
      <c r="H12" s="443">
        <f>'Combustion (Existing Calcs)'!I174</f>
        <v>0.13749580372129566</v>
      </c>
      <c r="I12" s="443">
        <f>'Combustion (Existing Calcs)'!G175</f>
        <v>8.9152530266776182</v>
      </c>
      <c r="J12" s="443">
        <f>'Combustion (Existing Calcs)'!I175</f>
        <v>39.048808256847963</v>
      </c>
      <c r="K12" s="443">
        <f>'Combustion (Existing Calcs)'!G176</f>
        <v>2.5113388807542587</v>
      </c>
      <c r="L12" s="443">
        <f>'Combustion (Existing Calcs)'!I176</f>
        <v>10.999664297703653</v>
      </c>
      <c r="M12" s="443">
        <f>'Combustion (Existing Calcs)'!G178</f>
        <v>1.4477647058823528</v>
      </c>
      <c r="N12" s="443">
        <f>'Combustion (Existing Calcs)'!I178</f>
        <v>6.341209411764706</v>
      </c>
      <c r="O12" s="444">
        <f>'Combustion (Existing Calcs)'!G177</f>
        <v>9.4794117647058806E-2</v>
      </c>
      <c r="P12" s="445">
        <f>'Combustion (Existing Calcs)'!I177</f>
        <v>0.41519823529411759</v>
      </c>
      <c r="Q12" s="448">
        <f>'Combustion (Existing Calcs)'!G183</f>
        <v>2812.7297873351158</v>
      </c>
      <c r="R12" s="446">
        <f>'Combustion (Existing Calcs)'!I183</f>
        <v>12319.756468527805</v>
      </c>
      <c r="S12" s="445">
        <f>'Combustion (Existing Calcs)'!G149</f>
        <v>3.1023529411764703E-2</v>
      </c>
      <c r="T12" s="445">
        <f>'Combustion (Existing Calcs)'!I149</f>
        <v>0.13588305882352941</v>
      </c>
      <c r="U12" s="444">
        <f>'Combustion (Existing Calcs)'!G170</f>
        <v>3.2650661823529409E-2</v>
      </c>
      <c r="V12" s="447">
        <f>'Combustion (Existing Calcs)'!I170</f>
        <v>0.1430098987870588</v>
      </c>
      <c r="X12" s="429"/>
    </row>
    <row r="13" spans="1:35" s="126" customFormat="1" x14ac:dyDescent="0.2">
      <c r="A13" s="194" t="s">
        <v>6</v>
      </c>
      <c r="B13" s="195" t="s">
        <v>303</v>
      </c>
      <c r="C13" s="196">
        <f>'EU009, EU010'!M9</f>
        <v>7.1999999999999995E-2</v>
      </c>
      <c r="D13" s="118">
        <f>'EU009, EU010'!N9</f>
        <v>0.31535999999999997</v>
      </c>
      <c r="E13" s="118">
        <f>'EU009, EU010'!M10</f>
        <v>4.6000000000000006E-2</v>
      </c>
      <c r="F13" s="118">
        <f>'EU009, EU010'!N10</f>
        <v>0.20148000000000002</v>
      </c>
      <c r="G13" s="118">
        <f>'EU009, EU010'!M11</f>
        <v>4.6000000000000006E-2</v>
      </c>
      <c r="H13" s="118">
        <f>'EU009, EU010'!N11</f>
        <v>0.20148000000000002</v>
      </c>
      <c r="I13" s="197" t="s">
        <v>268</v>
      </c>
      <c r="J13" s="197" t="s">
        <v>268</v>
      </c>
      <c r="K13" s="197" t="s">
        <v>268</v>
      </c>
      <c r="L13" s="197" t="s">
        <v>268</v>
      </c>
      <c r="M13" s="198" t="s">
        <v>268</v>
      </c>
      <c r="N13" s="198" t="s">
        <v>268</v>
      </c>
      <c r="O13" s="197" t="s">
        <v>268</v>
      </c>
      <c r="P13" s="197" t="s">
        <v>268</v>
      </c>
      <c r="Q13" s="197" t="s">
        <v>268</v>
      </c>
      <c r="R13" s="197" t="s">
        <v>268</v>
      </c>
      <c r="S13" s="197" t="s">
        <v>268</v>
      </c>
      <c r="T13" s="197" t="s">
        <v>268</v>
      </c>
      <c r="U13" s="197" t="s">
        <v>268</v>
      </c>
      <c r="V13" s="199" t="s">
        <v>268</v>
      </c>
    </row>
    <row r="14" spans="1:35" s="126" customFormat="1" x14ac:dyDescent="0.2">
      <c r="A14" s="194" t="s">
        <v>5</v>
      </c>
      <c r="B14" s="195" t="s">
        <v>304</v>
      </c>
      <c r="C14" s="196">
        <f>'EU009, EU010'!M20</f>
        <v>7.1999999999999995E-2</v>
      </c>
      <c r="D14" s="118">
        <f>'EU009, EU010'!N20</f>
        <v>0.31535999999999997</v>
      </c>
      <c r="E14" s="118">
        <f>'EU009, EU010'!M21</f>
        <v>4.6000000000000006E-2</v>
      </c>
      <c r="F14" s="118">
        <f>'EU009, EU010'!N21</f>
        <v>0.20148000000000002</v>
      </c>
      <c r="G14" s="118">
        <f>'EU009, EU010'!M22</f>
        <v>4.6000000000000006E-2</v>
      </c>
      <c r="H14" s="118">
        <f>'EU009, EU010'!N22</f>
        <v>0.20148000000000002</v>
      </c>
      <c r="I14" s="197" t="s">
        <v>268</v>
      </c>
      <c r="J14" s="197" t="s">
        <v>268</v>
      </c>
      <c r="K14" s="197" t="s">
        <v>268</v>
      </c>
      <c r="L14" s="197" t="s">
        <v>268</v>
      </c>
      <c r="M14" s="198" t="s">
        <v>268</v>
      </c>
      <c r="N14" s="198" t="s">
        <v>268</v>
      </c>
      <c r="O14" s="197" t="s">
        <v>268</v>
      </c>
      <c r="P14" s="197" t="s">
        <v>268</v>
      </c>
      <c r="Q14" s="197" t="s">
        <v>268</v>
      </c>
      <c r="R14" s="197" t="s">
        <v>268</v>
      </c>
      <c r="S14" s="197" t="s">
        <v>268</v>
      </c>
      <c r="T14" s="197" t="s">
        <v>268</v>
      </c>
      <c r="U14" s="197" t="s">
        <v>268</v>
      </c>
      <c r="V14" s="199" t="s">
        <v>268</v>
      </c>
    </row>
    <row r="15" spans="1:35" s="126" customFormat="1" x14ac:dyDescent="0.2">
      <c r="A15" s="194" t="s">
        <v>4</v>
      </c>
      <c r="B15" s="195" t="s">
        <v>305</v>
      </c>
      <c r="C15" s="196">
        <f>'EU011, EU012 &amp; EU013'!H9</f>
        <v>0.33500000000000002</v>
      </c>
      <c r="D15" s="118">
        <f>'EU011, EU012 &amp; EU013'!I9</f>
        <v>1.4673</v>
      </c>
      <c r="E15" s="118">
        <f>'EU011, EU012 &amp; EU013'!H10</f>
        <v>0.28475</v>
      </c>
      <c r="F15" s="118">
        <f>'EU011, EU012 &amp; EU013'!I10</f>
        <v>1.2472049999999999</v>
      </c>
      <c r="G15" s="118">
        <f>'EU011, EU012 &amp; EU013'!H11</f>
        <v>0.10050000000000002</v>
      </c>
      <c r="H15" s="118">
        <f>'EU011, EU012 &amp; EU013'!I11</f>
        <v>0.44019000000000008</v>
      </c>
      <c r="I15" s="197" t="s">
        <v>268</v>
      </c>
      <c r="J15" s="197" t="s">
        <v>268</v>
      </c>
      <c r="K15" s="197" t="s">
        <v>268</v>
      </c>
      <c r="L15" s="197" t="s">
        <v>268</v>
      </c>
      <c r="M15" s="198" t="s">
        <v>268</v>
      </c>
      <c r="N15" s="198" t="s">
        <v>268</v>
      </c>
      <c r="O15" s="197" t="s">
        <v>268</v>
      </c>
      <c r="P15" s="197" t="s">
        <v>268</v>
      </c>
      <c r="Q15" s="197" t="s">
        <v>268</v>
      </c>
      <c r="R15" s="197" t="s">
        <v>268</v>
      </c>
      <c r="S15" s="197" t="s">
        <v>268</v>
      </c>
      <c r="T15" s="197" t="s">
        <v>268</v>
      </c>
      <c r="U15" s="197" t="s">
        <v>268</v>
      </c>
      <c r="V15" s="199" t="s">
        <v>268</v>
      </c>
    </row>
    <row r="16" spans="1:35" s="126" customFormat="1" x14ac:dyDescent="0.2">
      <c r="A16" s="194" t="s">
        <v>3</v>
      </c>
      <c r="B16" s="195" t="s">
        <v>305</v>
      </c>
      <c r="C16" s="196">
        <f>'EU011, EU012 &amp; EU013'!H19</f>
        <v>1</v>
      </c>
      <c r="D16" s="118">
        <f>'EU011, EU012 &amp; EU013'!I19</f>
        <v>4.38</v>
      </c>
      <c r="E16" s="118">
        <f>'EU011, EU012 &amp; EU013'!H20</f>
        <v>0.89500000000000002</v>
      </c>
      <c r="F16" s="118">
        <f>'EU011, EU012 &amp; EU013'!I20</f>
        <v>3.9201000000000001</v>
      </c>
      <c r="G16" s="118">
        <f>'EU011, EU012 &amp; EU013'!H21</f>
        <v>0.51000000000000012</v>
      </c>
      <c r="H16" s="118">
        <f>'EU011, EU012 &amp; EU013'!I21</f>
        <v>2.2338000000000005</v>
      </c>
      <c r="I16" s="197" t="s">
        <v>268</v>
      </c>
      <c r="J16" s="197" t="s">
        <v>268</v>
      </c>
      <c r="K16" s="197" t="s">
        <v>268</v>
      </c>
      <c r="L16" s="197" t="s">
        <v>268</v>
      </c>
      <c r="M16" s="198" t="s">
        <v>268</v>
      </c>
      <c r="N16" s="198" t="s">
        <v>268</v>
      </c>
      <c r="O16" s="150">
        <f>'EU011, EU012 &amp; EU013'!H22</f>
        <v>1.0643750000000001</v>
      </c>
      <c r="P16" s="160">
        <f>'EU011, EU012 &amp; EU013'!I22</f>
        <v>4.6619625000000005</v>
      </c>
      <c r="Q16" s="197" t="s">
        <v>268</v>
      </c>
      <c r="R16" s="197" t="s">
        <v>268</v>
      </c>
      <c r="S16" s="197" t="s">
        <v>268</v>
      </c>
      <c r="T16" s="197" t="s">
        <v>268</v>
      </c>
      <c r="U16" s="197" t="s">
        <v>268</v>
      </c>
      <c r="V16" s="199" t="s">
        <v>268</v>
      </c>
    </row>
    <row r="17" spans="1:24" s="126" customFormat="1" x14ac:dyDescent="0.2">
      <c r="A17" s="194" t="s">
        <v>2</v>
      </c>
      <c r="B17" s="195" t="s">
        <v>305</v>
      </c>
      <c r="C17" s="196">
        <f>'EU011, EU012 &amp; EU013'!H31</f>
        <v>1</v>
      </c>
      <c r="D17" s="118">
        <f>'EU011, EU012 &amp; EU013'!I31</f>
        <v>4.38</v>
      </c>
      <c r="E17" s="118">
        <f>'EU011, EU012 &amp; EU013'!H32</f>
        <v>0.89500000000000002</v>
      </c>
      <c r="F17" s="118">
        <f>'EU011, EU012 &amp; EU013'!I32</f>
        <v>3.9201000000000001</v>
      </c>
      <c r="G17" s="118">
        <f>'EU011, EU012 &amp; EU013'!H33</f>
        <v>0.51000000000000012</v>
      </c>
      <c r="H17" s="118">
        <f>'EU011, EU012 &amp; EU013'!I33</f>
        <v>2.2338000000000005</v>
      </c>
      <c r="I17" s="197" t="s">
        <v>268</v>
      </c>
      <c r="J17" s="197" t="s">
        <v>268</v>
      </c>
      <c r="K17" s="197" t="s">
        <v>268</v>
      </c>
      <c r="L17" s="197" t="s">
        <v>268</v>
      </c>
      <c r="M17" s="198" t="s">
        <v>268</v>
      </c>
      <c r="N17" s="198" t="s">
        <v>268</v>
      </c>
      <c r="O17" s="150">
        <f>'EU011, EU012 &amp; EU013'!H34</f>
        <v>1.0643750000000001</v>
      </c>
      <c r="P17" s="160">
        <f>'EU011, EU012 &amp; EU013'!I34</f>
        <v>4.6619625000000005</v>
      </c>
      <c r="Q17" s="197" t="s">
        <v>268</v>
      </c>
      <c r="R17" s="197" t="s">
        <v>268</v>
      </c>
      <c r="S17" s="197" t="s">
        <v>268</v>
      </c>
      <c r="T17" s="197" t="s">
        <v>268</v>
      </c>
      <c r="U17" s="197" t="s">
        <v>268</v>
      </c>
      <c r="V17" s="199" t="s">
        <v>268</v>
      </c>
    </row>
    <row r="18" spans="1:24" s="126" customFormat="1" x14ac:dyDescent="0.2">
      <c r="A18" s="194" t="s">
        <v>1</v>
      </c>
      <c r="B18" s="195" t="s">
        <v>306</v>
      </c>
      <c r="C18" s="196">
        <f>'EU014'!M9</f>
        <v>8.9999999999999993E-3</v>
      </c>
      <c r="D18" s="118">
        <f>'EU014'!N9</f>
        <v>3.9419999999999997E-2</v>
      </c>
      <c r="E18" s="118">
        <f>'EU014'!M10</f>
        <v>5.7500000000000008E-3</v>
      </c>
      <c r="F18" s="118">
        <f>'EU014'!N10</f>
        <v>2.5185000000000003E-2</v>
      </c>
      <c r="G18" s="118">
        <f>'EU014'!M11</f>
        <v>5.7500000000000008E-3</v>
      </c>
      <c r="H18" s="118">
        <f>'EU014'!N11</f>
        <v>2.5185000000000003E-2</v>
      </c>
      <c r="I18" s="197" t="s">
        <v>268</v>
      </c>
      <c r="J18" s="197" t="s">
        <v>268</v>
      </c>
      <c r="K18" s="197" t="s">
        <v>268</v>
      </c>
      <c r="L18" s="197" t="s">
        <v>268</v>
      </c>
      <c r="M18" s="198" t="s">
        <v>268</v>
      </c>
      <c r="N18" s="198" t="s">
        <v>268</v>
      </c>
      <c r="O18" s="198" t="s">
        <v>268</v>
      </c>
      <c r="P18" s="198" t="s">
        <v>268</v>
      </c>
      <c r="Q18" s="197" t="s">
        <v>268</v>
      </c>
      <c r="R18" s="197" t="s">
        <v>268</v>
      </c>
      <c r="S18" s="197" t="s">
        <v>268</v>
      </c>
      <c r="T18" s="197" t="s">
        <v>268</v>
      </c>
      <c r="U18" s="197" t="s">
        <v>268</v>
      </c>
      <c r="V18" s="199" t="s">
        <v>268</v>
      </c>
    </row>
    <row r="19" spans="1:24" s="126" customFormat="1" x14ac:dyDescent="0.2">
      <c r="A19" s="200" t="s">
        <v>289</v>
      </c>
      <c r="B19" s="201" t="s">
        <v>294</v>
      </c>
      <c r="C19" s="202">
        <f>'EU020, EU021 &amp; EU022'!H8</f>
        <v>1.5157200000000002</v>
      </c>
      <c r="D19" s="120">
        <f>'EU020, EU021 &amp; EU022'!I8</f>
        <v>6.6388536000000009</v>
      </c>
      <c r="E19" s="120">
        <f>'EU020, EU021 &amp; EU022'!H9</f>
        <v>1.3565693999999999</v>
      </c>
      <c r="F19" s="120">
        <f>'EU020, EU021 &amp; EU022'!I9</f>
        <v>5.9417739719999991</v>
      </c>
      <c r="G19" s="120">
        <f>'EU020, EU021 &amp; EU022'!H10</f>
        <v>0.77301720000000007</v>
      </c>
      <c r="H19" s="120">
        <f>'EU020, EU021 &amp; EU022'!I10</f>
        <v>3.3858153360000003</v>
      </c>
      <c r="I19" s="197" t="s">
        <v>268</v>
      </c>
      <c r="J19" s="197" t="s">
        <v>268</v>
      </c>
      <c r="K19" s="197" t="s">
        <v>268</v>
      </c>
      <c r="L19" s="197" t="s">
        <v>268</v>
      </c>
      <c r="M19" s="198" t="s">
        <v>268</v>
      </c>
      <c r="N19" s="198" t="s">
        <v>268</v>
      </c>
      <c r="O19" s="198">
        <f>'EU020, EU021 &amp; EU022'!H11</f>
        <v>0.16104525000000003</v>
      </c>
      <c r="P19" s="203">
        <f>'EU020, EU021 &amp; EU022'!I11</f>
        <v>0.7053781950000001</v>
      </c>
      <c r="Q19" s="197" t="s">
        <v>268</v>
      </c>
      <c r="R19" s="197" t="s">
        <v>268</v>
      </c>
      <c r="S19" s="197" t="s">
        <v>268</v>
      </c>
      <c r="T19" s="197" t="s">
        <v>268</v>
      </c>
      <c r="U19" s="197" t="s">
        <v>268</v>
      </c>
      <c r="V19" s="199" t="s">
        <v>268</v>
      </c>
    </row>
    <row r="20" spans="1:24" s="126" customFormat="1" x14ac:dyDescent="0.2">
      <c r="A20" s="204" t="s">
        <v>290</v>
      </c>
      <c r="B20" s="195" t="s">
        <v>294</v>
      </c>
      <c r="C20" s="196">
        <f>'EU020, EU021 &amp; EU022'!H20</f>
        <v>0.42868000000000006</v>
      </c>
      <c r="D20" s="118">
        <f>'EU020, EU021 &amp; EU022'!I20</f>
        <v>1.8776184000000002</v>
      </c>
      <c r="E20" s="118">
        <f>'EU020, EU021 &amp; EU022'!H21</f>
        <v>0.38366860000000003</v>
      </c>
      <c r="F20" s="118">
        <f>'EU020, EU021 &amp; EU022'!I21</f>
        <v>1.6804684680000002</v>
      </c>
      <c r="G20" s="118">
        <f>'EU020, EU021 &amp; EU022'!H22</f>
        <v>0.21862680000000001</v>
      </c>
      <c r="H20" s="118">
        <f>'EU020, EU021 &amp; EU022'!I22</f>
        <v>0.95758538400000004</v>
      </c>
      <c r="I20" s="197" t="s">
        <v>268</v>
      </c>
      <c r="J20" s="197" t="s">
        <v>268</v>
      </c>
      <c r="K20" s="197" t="s">
        <v>268</v>
      </c>
      <c r="L20" s="197" t="s">
        <v>268</v>
      </c>
      <c r="M20" s="198" t="s">
        <v>268</v>
      </c>
      <c r="N20" s="198" t="s">
        <v>268</v>
      </c>
      <c r="O20" s="198">
        <f>'EU020, EU021 &amp; EU022'!H23</f>
        <v>4.5547250000000011E-2</v>
      </c>
      <c r="P20" s="205">
        <f>'EU020, EU021 &amp; EU022'!I23</f>
        <v>0.19949695500000003</v>
      </c>
      <c r="Q20" s="197" t="s">
        <v>268</v>
      </c>
      <c r="R20" s="197" t="s">
        <v>268</v>
      </c>
      <c r="S20" s="197" t="s">
        <v>268</v>
      </c>
      <c r="T20" s="197" t="s">
        <v>268</v>
      </c>
      <c r="U20" s="197" t="s">
        <v>268</v>
      </c>
      <c r="V20" s="199" t="s">
        <v>268</v>
      </c>
    </row>
    <row r="21" spans="1:24" s="126" customFormat="1" ht="13.5" thickBot="1" x14ac:dyDescent="0.25">
      <c r="A21" s="204" t="s">
        <v>291</v>
      </c>
      <c r="B21" s="195" t="s">
        <v>294</v>
      </c>
      <c r="C21" s="196">
        <f>'EU020, EU021 &amp; EU022'!H32</f>
        <v>0.16515500000000002</v>
      </c>
      <c r="D21" s="118">
        <f>'EU020, EU021 &amp; EU022'!I32</f>
        <v>0.72337890000000005</v>
      </c>
      <c r="E21" s="118">
        <f>'EU020, EU021 &amp; EU022'!H33</f>
        <v>0.14038175</v>
      </c>
      <c r="F21" s="118">
        <f>'EU020, EU021 &amp; EU022'!I33</f>
        <v>0.61487206500000002</v>
      </c>
      <c r="G21" s="118">
        <f>'EU020, EU021 &amp; EU022'!H34</f>
        <v>4.95465E-2</v>
      </c>
      <c r="H21" s="118">
        <f>'EU020, EU021 &amp; EU022'!I34</f>
        <v>0.21701366999999999</v>
      </c>
      <c r="I21" s="197" t="s">
        <v>268</v>
      </c>
      <c r="J21" s="197" t="s">
        <v>268</v>
      </c>
      <c r="K21" s="197" t="s">
        <v>268</v>
      </c>
      <c r="L21" s="197" t="s">
        <v>268</v>
      </c>
      <c r="M21" s="198" t="s">
        <v>268</v>
      </c>
      <c r="N21" s="198" t="s">
        <v>268</v>
      </c>
      <c r="O21" s="198" t="s">
        <v>268</v>
      </c>
      <c r="P21" s="198" t="s">
        <v>268</v>
      </c>
      <c r="Q21" s="197" t="s">
        <v>268</v>
      </c>
      <c r="R21" s="197" t="s">
        <v>268</v>
      </c>
      <c r="S21" s="197" t="s">
        <v>268</v>
      </c>
      <c r="T21" s="197" t="s">
        <v>268</v>
      </c>
      <c r="U21" s="197" t="s">
        <v>268</v>
      </c>
      <c r="V21" s="199" t="s">
        <v>268</v>
      </c>
    </row>
    <row r="22" spans="1:24" ht="14.25" thickTop="1" thickBot="1" x14ac:dyDescent="0.25">
      <c r="A22" s="193" t="s">
        <v>308</v>
      </c>
      <c r="B22" s="4"/>
      <c r="C22" s="3">
        <f t="shared" ref="C22:I22" si="0">SUM(C8:C21)</f>
        <v>13.149912555633517</v>
      </c>
      <c r="D22" s="3">
        <f>SUM(D8:D21)</f>
        <v>57.596616993674829</v>
      </c>
      <c r="E22" s="3">
        <f t="shared" si="0"/>
        <v>11.459527887254904</v>
      </c>
      <c r="F22" s="3">
        <f t="shared" si="0"/>
        <v>50.192732146176468</v>
      </c>
      <c r="G22" s="3">
        <f t="shared" si="0"/>
        <v>7.2544357826894847</v>
      </c>
      <c r="H22" s="3">
        <f t="shared" si="0"/>
        <v>31.774428728179945</v>
      </c>
      <c r="I22" s="3">
        <f t="shared" si="0"/>
        <v>91.520876754401641</v>
      </c>
      <c r="J22" s="161" t="s">
        <v>310</v>
      </c>
      <c r="K22" s="3">
        <f t="shared" ref="K22:T22" si="1">SUM(K8:K21)</f>
        <v>21.925599085746942</v>
      </c>
      <c r="L22" s="3">
        <f t="shared" si="1"/>
        <v>96.034123995571605</v>
      </c>
      <c r="M22" s="3">
        <f>SUM(M8:M21)</f>
        <v>6.0595294117647063</v>
      </c>
      <c r="N22" s="3">
        <f t="shared" si="1"/>
        <v>26.540738823529413</v>
      </c>
      <c r="O22" s="3">
        <f t="shared" si="1"/>
        <v>2.9920974019607844</v>
      </c>
      <c r="P22" s="3">
        <f>SUM(P8:P21)</f>
        <v>13.105386620588236</v>
      </c>
      <c r="Q22" s="140">
        <f t="shared" si="1"/>
        <v>12607.410591943297</v>
      </c>
      <c r="R22" s="140">
        <f t="shared" si="1"/>
        <v>55220.458392711647</v>
      </c>
      <c r="S22" s="3">
        <f t="shared" si="1"/>
        <v>0.12984705882352943</v>
      </c>
      <c r="T22" s="3">
        <f t="shared" si="1"/>
        <v>0.56873011764705894</v>
      </c>
      <c r="U22" s="3">
        <f>SUM(U8:U21)</f>
        <v>0.13664065398039216</v>
      </c>
      <c r="V22" s="138">
        <f>SUM(V8:V21)</f>
        <v>0.59848606443411767</v>
      </c>
      <c r="X22" s="429"/>
    </row>
    <row r="23" spans="1:24" s="126" customFormat="1" ht="14.25" thickTop="1" thickBot="1" x14ac:dyDescent="0.25">
      <c r="A23" s="478" t="s">
        <v>331</v>
      </c>
      <c r="B23" s="206"/>
      <c r="C23" s="207"/>
      <c r="D23" s="207"/>
      <c r="E23" s="207"/>
      <c r="F23" s="207"/>
      <c r="G23" s="207"/>
      <c r="H23" s="207"/>
      <c r="I23" s="208"/>
      <c r="J23" s="208"/>
      <c r="K23" s="208"/>
      <c r="L23" s="208"/>
      <c r="M23" s="209"/>
      <c r="N23" s="209"/>
      <c r="O23" s="211"/>
      <c r="P23" s="212"/>
      <c r="Q23" s="197"/>
      <c r="R23" s="213"/>
      <c r="S23" s="214"/>
      <c r="T23" s="208"/>
      <c r="U23" s="208"/>
      <c r="V23" s="210"/>
    </row>
    <row r="24" spans="1:24" s="126" customFormat="1" ht="13.5" thickTop="1" x14ac:dyDescent="0.2">
      <c r="A24" s="382" t="s">
        <v>11</v>
      </c>
      <c r="B24" s="383" t="s">
        <v>279</v>
      </c>
      <c r="C24" s="384">
        <f>'Combustion (Proposed)'!K51</f>
        <v>0.80104921740632828</v>
      </c>
      <c r="D24" s="385">
        <f>'Combustion (Proposed)'!M51</f>
        <v>3.508595572239718</v>
      </c>
      <c r="E24" s="385">
        <f>'Combustion (Proposed)'!K52</f>
        <v>0.40052460870316414</v>
      </c>
      <c r="F24" s="385">
        <f>'Combustion (Proposed)'!M52</f>
        <v>1.754297786119859</v>
      </c>
      <c r="G24" s="385">
        <f>'Combustion (Proposed)'!K53</f>
        <v>0.39016393442622943</v>
      </c>
      <c r="H24" s="385">
        <f>'Combustion (Proposed)'!M53</f>
        <v>1.7089180327868849</v>
      </c>
      <c r="I24" s="385">
        <f>'Combustion (Proposed)'!K54</f>
        <v>5.6874494435849314</v>
      </c>
      <c r="J24" s="385">
        <f>'Combustion (Proposed)'!M54</f>
        <v>24.911028562902001</v>
      </c>
      <c r="K24" s="385">
        <f>'Combustion (Proposed)'!K55</f>
        <v>8.0104921740632822</v>
      </c>
      <c r="L24" s="385">
        <f>'Combustion (Proposed)'!M55</f>
        <v>35.085955722397181</v>
      </c>
      <c r="M24" s="385">
        <f>'Combustion (Proposed)'!K57</f>
        <v>4.2</v>
      </c>
      <c r="N24" s="385">
        <f>'Combustion (Proposed)'!M57</f>
        <v>18.396000000000001</v>
      </c>
      <c r="O24" s="386">
        <f>'Combustion (Proposed)'!K56</f>
        <v>0.4459016393442623</v>
      </c>
      <c r="P24" s="387">
        <f>'Combustion (Proposed)'!M56</f>
        <v>1.9530491803278689</v>
      </c>
      <c r="Q24" s="388">
        <f>'Combustion (Proposed)'!K62</f>
        <v>8964.4184304147384</v>
      </c>
      <c r="R24" s="389">
        <f>'Combustion (Proposed)'!M62</f>
        <v>39264.152725216554</v>
      </c>
      <c r="S24" s="387">
        <f>'Combustion (Proposed)'!K28</f>
        <v>9.0000000000000011E-2</v>
      </c>
      <c r="T24" s="387">
        <f>'Combustion (Proposed)'!M28</f>
        <v>0.39420000000000005</v>
      </c>
      <c r="U24" s="386">
        <f>'Combustion (Proposed)'!K49</f>
        <v>9.4720349999999995E-2</v>
      </c>
      <c r="V24" s="390">
        <f>'Combustion (Proposed)'!M49</f>
        <v>0.41487513300000001</v>
      </c>
      <c r="X24" s="429"/>
    </row>
    <row r="25" spans="1:24" s="126" customFormat="1" x14ac:dyDescent="0.2">
      <c r="A25" s="449" t="s">
        <v>10</v>
      </c>
      <c r="B25" s="450" t="s">
        <v>280</v>
      </c>
      <c r="C25" s="451">
        <f>'Combustion (Proposed)'!K115+'EU002'!F36</f>
        <v>1.432651884059444</v>
      </c>
      <c r="D25" s="452">
        <f>'Combustion (Proposed)'!M115+'EU002'!G36</f>
        <v>6.2750152521803644</v>
      </c>
      <c r="E25" s="452">
        <f>'Combustion (Proposed)'!K116+'EU002'!F37</f>
        <v>1.2592671185003101</v>
      </c>
      <c r="F25" s="452">
        <f>'Combustion (Proposed)'!M116+'EU002'!G37</f>
        <v>5.5155899790313585</v>
      </c>
      <c r="G25" s="452">
        <f>'Combustion (Proposed)'!K117+'EU002'!F38</f>
        <v>0.76648666023786571</v>
      </c>
      <c r="H25" s="452">
        <f>'Combustion (Proposed)'!M117+'EU002'!G38</f>
        <v>3.3572115718418516</v>
      </c>
      <c r="I25" s="452">
        <f>'Combustion (Proposed)'!K118</f>
        <v>0.55759308270440511</v>
      </c>
      <c r="J25" s="452">
        <f>'Combustion (Proposed)'!M118</f>
        <v>2.442257702245294</v>
      </c>
      <c r="K25" s="452">
        <f>'Combustion (Proposed)'!K119</f>
        <v>0.78534237000620433</v>
      </c>
      <c r="L25" s="452">
        <f>'Combustion (Proposed)'!M119</f>
        <v>3.4397995806271751</v>
      </c>
      <c r="M25" s="452">
        <f>'Combustion (Proposed)'!K121</f>
        <v>0.41176470588235292</v>
      </c>
      <c r="N25" s="452">
        <f>'Combustion (Proposed)'!M121</f>
        <v>1.8035294117647058</v>
      </c>
      <c r="O25" s="453">
        <f>'Combustion (Proposed)'!K184+'EU002'!F39</f>
        <v>0.24370491803278688</v>
      </c>
      <c r="P25" s="454">
        <f>'Combustion (Proposed)'!M184+'EU002'!G39</f>
        <v>1.0674275409836067</v>
      </c>
      <c r="Q25" s="455">
        <f>'Combustion (Proposed)'!K126</f>
        <v>878.86455200144508</v>
      </c>
      <c r="R25" s="455">
        <f>'Combustion (Proposed)'!M126</f>
        <v>3849.4267377663296</v>
      </c>
      <c r="S25" s="454">
        <f>'Combustion (Proposed)'!K92</f>
        <v>8.8235294117647058E-3</v>
      </c>
      <c r="T25" s="454">
        <f>'Combustion (Proposed)'!M92</f>
        <v>3.8647058823529416E-2</v>
      </c>
      <c r="U25" s="453">
        <f>'Combustion (Proposed)'!K113</f>
        <v>9.2863088235294114E-3</v>
      </c>
      <c r="V25" s="456">
        <f>'Combustion (Proposed)'!M113</f>
        <v>4.0674032647058822E-2</v>
      </c>
      <c r="X25" s="429"/>
    </row>
    <row r="26" spans="1:24" s="126" customFormat="1" x14ac:dyDescent="0.2">
      <c r="A26" s="449" t="s">
        <v>7</v>
      </c>
      <c r="B26" s="450" t="s">
        <v>281</v>
      </c>
      <c r="C26" s="451">
        <f>'Combustion (Proposed)'!K179</f>
        <v>0.27612637729418138</v>
      </c>
      <c r="D26" s="452">
        <f>'Combustion (Proposed)'!M179</f>
        <v>1.2094335325485144</v>
      </c>
      <c r="E26" s="452">
        <f>'Combustion (Proposed)'!K180</f>
        <v>0.13806318864709069</v>
      </c>
      <c r="F26" s="452">
        <f>'Combustion (Proposed)'!M180</f>
        <v>0.60471676627425719</v>
      </c>
      <c r="G26" s="452">
        <f>'Combustion (Proposed)'!K181</f>
        <v>0.13449180327868851</v>
      </c>
      <c r="H26" s="452">
        <f>'Combustion (Proposed)'!M181</f>
        <v>0.58907409836065561</v>
      </c>
      <c r="I26" s="452">
        <f>'Combustion (Proposed)'!K182</f>
        <v>1.9604972787886878</v>
      </c>
      <c r="J26" s="452">
        <f>'Combustion (Proposed)'!M182</f>
        <v>8.5869780810944523</v>
      </c>
      <c r="K26" s="452">
        <f>'Combustion (Proposed)'!K183</f>
        <v>2.7612637729418137</v>
      </c>
      <c r="L26" s="452">
        <f>'Combustion (Proposed)'!M183</f>
        <v>12.094335325485144</v>
      </c>
      <c r="M26" s="452">
        <f>'Combustion (Proposed)'!K185</f>
        <v>1.4477647058823528</v>
      </c>
      <c r="N26" s="452">
        <f>'Combustion (Proposed)'!M185</f>
        <v>6.341209411764706</v>
      </c>
      <c r="O26" s="453">
        <f>'Combustion (Proposed)'!K184</f>
        <v>0.15370491803278688</v>
      </c>
      <c r="P26" s="454">
        <f>'Combustion (Proposed)'!M184</f>
        <v>0.6732275409836066</v>
      </c>
      <c r="Q26" s="398">
        <f>'Combustion (Proposed)'!K190</f>
        <v>3090.0877648370806</v>
      </c>
      <c r="R26" s="398">
        <f>'Combustion (Proposed)'!M190</f>
        <v>13534.584409986413</v>
      </c>
      <c r="S26" s="454">
        <f>'Combustion (Proposed)'!K156</f>
        <v>3.1023529411764703E-2</v>
      </c>
      <c r="T26" s="454">
        <f>'Combustion (Proposed)'!M156</f>
        <v>0.13588305882352941</v>
      </c>
      <c r="U26" s="453">
        <f>'Combustion (Proposed)'!K177</f>
        <v>3.2650661823529409E-2</v>
      </c>
      <c r="V26" s="456">
        <f>'Combustion (Proposed)'!M177</f>
        <v>0.1430098987870588</v>
      </c>
      <c r="X26" s="429"/>
    </row>
    <row r="27" spans="1:24" s="126" customFormat="1" ht="13.5" thickBot="1" x14ac:dyDescent="0.25">
      <c r="A27" s="391" t="s">
        <v>292</v>
      </c>
      <c r="B27" s="391" t="s">
        <v>293</v>
      </c>
      <c r="C27" s="392">
        <f>'Combustion (Proposed)'!I242</f>
        <v>0.52855255169458237</v>
      </c>
      <c r="D27" s="392">
        <f>'Combustion (Proposed)'!K242</f>
        <v>2.3150601764222705</v>
      </c>
      <c r="E27" s="392">
        <f>'Combustion (Proposed)'!I243</f>
        <v>0.28306010928961745</v>
      </c>
      <c r="F27" s="392">
        <f>'Combustion (Proposed)'!K243</f>
        <v>1.2398032786885245</v>
      </c>
      <c r="G27" s="392">
        <f>'Combustion (Proposed)'!I244</f>
        <v>0.28306010928961745</v>
      </c>
      <c r="H27" s="392">
        <f>'Combustion (Proposed)'!K244</f>
        <v>1.2398032786885245</v>
      </c>
      <c r="I27" s="393">
        <f>'Combustion (Proposed)'!I245</f>
        <v>0.60655737704918034</v>
      </c>
      <c r="J27" s="394">
        <f>'Combustion (Proposed)'!K245</f>
        <v>2.65672131147541</v>
      </c>
      <c r="K27" s="393">
        <f>'Combustion (Proposed)'!I246</f>
        <v>5.2855255169458237</v>
      </c>
      <c r="L27" s="393">
        <f>'Combustion (Proposed)'!K246</f>
        <v>23.15060176422271</v>
      </c>
      <c r="M27" s="395">
        <f>'Combustion (Proposed)'!I248</f>
        <v>3.047058823529412</v>
      </c>
      <c r="N27" s="395">
        <f>'Combustion (Proposed)'!K248</f>
        <v>13.346117647058826</v>
      </c>
      <c r="O27" s="396">
        <f>'Combustion (Proposed)'!I247</f>
        <v>0.32349726775956289</v>
      </c>
      <c r="P27" s="397">
        <f>'Combustion (Proposed)'!K247</f>
        <v>1.4169180327868856</v>
      </c>
      <c r="Q27" s="398">
        <f>'Combustion (Proposed)'!I253</f>
        <v>5914.9502089211092</v>
      </c>
      <c r="R27" s="399">
        <f>'Combustion (Proposed)'!K253</f>
        <v>25907.481915074455</v>
      </c>
      <c r="S27" s="400">
        <f>'Combustion (Proposed)'!I219</f>
        <v>6.5294117647058836E-2</v>
      </c>
      <c r="T27" s="393">
        <f>'Combustion (Proposed)'!K219</f>
        <v>0.28598823529411771</v>
      </c>
      <c r="U27" s="393">
        <f>'Combustion (Proposed)'!I240</f>
        <v>6.8718685294117648E-2</v>
      </c>
      <c r="V27" s="401">
        <f>'Combustion (Proposed)'!K240</f>
        <v>0.30098784158823533</v>
      </c>
      <c r="X27" s="429"/>
    </row>
    <row r="28" spans="1:24" ht="14.25" thickTop="1" thickBot="1" x14ac:dyDescent="0.25">
      <c r="A28" s="372" t="s">
        <v>300</v>
      </c>
      <c r="B28" s="372"/>
      <c r="C28" s="373">
        <f t="shared" ref="C28:I28" si="2">C29-C22</f>
        <v>-4.4512775251789787</v>
      </c>
      <c r="D28" s="373">
        <f t="shared" si="2"/>
        <v>-19.496595560283957</v>
      </c>
      <c r="E28" s="373">
        <f t="shared" si="2"/>
        <v>-4.3048181121147211</v>
      </c>
      <c r="F28" s="373">
        <f t="shared" si="2"/>
        <v>-18.85510333106247</v>
      </c>
      <c r="G28" s="373">
        <f t="shared" si="2"/>
        <v>-2.4493427754570831</v>
      </c>
      <c r="H28" s="373">
        <f t="shared" si="2"/>
        <v>-10.728121356502029</v>
      </c>
      <c r="I28" s="373">
        <f t="shared" si="2"/>
        <v>-82.708779572274437</v>
      </c>
      <c r="J28" s="373">
        <f>J29-240</f>
        <v>-201.40301434228286</v>
      </c>
      <c r="K28" s="373">
        <f t="shared" ref="K28:V28" si="3">K29-K22</f>
        <v>-5.0829752517898186</v>
      </c>
      <c r="L28" s="373">
        <f t="shared" si="3"/>
        <v>-22.26343160283939</v>
      </c>
      <c r="M28" s="373">
        <f t="shared" si="3"/>
        <v>3.0470588235294125</v>
      </c>
      <c r="N28" s="373">
        <f t="shared" si="3"/>
        <v>13.346117647058829</v>
      </c>
      <c r="O28" s="373">
        <f t="shared" si="3"/>
        <v>0.68005384120861434</v>
      </c>
      <c r="P28" s="373">
        <f t="shared" si="3"/>
        <v>2.9786358244937343</v>
      </c>
      <c r="Q28" s="374">
        <f t="shared" si="3"/>
        <v>6240.9103642310747</v>
      </c>
      <c r="R28" s="374">
        <f t="shared" si="3"/>
        <v>27335.187395332105</v>
      </c>
      <c r="S28" s="373">
        <f t="shared" si="3"/>
        <v>6.5294117647058836E-2</v>
      </c>
      <c r="T28" s="373">
        <f t="shared" si="3"/>
        <v>0.28598823529411765</v>
      </c>
      <c r="U28" s="373">
        <f t="shared" si="3"/>
        <v>6.8735351960784313E-2</v>
      </c>
      <c r="V28" s="458">
        <f t="shared" si="3"/>
        <v>0.30106084158823532</v>
      </c>
      <c r="X28" s="429"/>
    </row>
    <row r="29" spans="1:24" ht="14.25" thickTop="1" thickBot="1" x14ac:dyDescent="0.25">
      <c r="A29" s="193" t="s">
        <v>309</v>
      </c>
      <c r="B29" s="4"/>
      <c r="C29" s="3">
        <f t="shared" ref="C29:V29" si="4">SUM(C10:C11,C13:C21,C24:C27)</f>
        <v>8.6986350304545379</v>
      </c>
      <c r="D29" s="3">
        <f t="shared" si="4"/>
        <v>38.100021433390872</v>
      </c>
      <c r="E29" s="3">
        <f t="shared" si="4"/>
        <v>7.1547097751401827</v>
      </c>
      <c r="F29" s="3">
        <f t="shared" si="4"/>
        <v>31.337628815113998</v>
      </c>
      <c r="G29" s="3">
        <f t="shared" si="4"/>
        <v>4.8050930072324016</v>
      </c>
      <c r="H29" s="3">
        <f t="shared" si="4"/>
        <v>21.046307371677916</v>
      </c>
      <c r="I29" s="3">
        <f t="shared" si="4"/>
        <v>8.8120971821272036</v>
      </c>
      <c r="J29" s="3">
        <f t="shared" si="4"/>
        <v>38.596985657717156</v>
      </c>
      <c r="K29" s="3">
        <f t="shared" si="4"/>
        <v>16.842623833957123</v>
      </c>
      <c r="L29" s="3">
        <f t="shared" si="4"/>
        <v>73.770692392732215</v>
      </c>
      <c r="M29" s="3">
        <f t="shared" si="4"/>
        <v>9.1065882352941188</v>
      </c>
      <c r="N29" s="3">
        <f t="shared" si="4"/>
        <v>39.886856470588242</v>
      </c>
      <c r="O29" s="3">
        <f t="shared" si="4"/>
        <v>3.6721512431693988</v>
      </c>
      <c r="P29" s="3">
        <f t="shared" si="4"/>
        <v>16.08402244508197</v>
      </c>
      <c r="Q29" s="140">
        <f t="shared" si="4"/>
        <v>18848.320956174372</v>
      </c>
      <c r="R29" s="140">
        <f t="shared" si="4"/>
        <v>82555.645788043752</v>
      </c>
      <c r="S29" s="3">
        <f t="shared" si="4"/>
        <v>0.19514117647058826</v>
      </c>
      <c r="T29" s="3">
        <f t="shared" si="4"/>
        <v>0.8547183529411766</v>
      </c>
      <c r="U29" s="3">
        <f t="shared" si="4"/>
        <v>0.20537600594117647</v>
      </c>
      <c r="V29" s="459">
        <f t="shared" si="4"/>
        <v>0.89954690602235299</v>
      </c>
      <c r="X29" s="429"/>
    </row>
    <row r="30" spans="1:24" ht="13.5" thickTop="1" x14ac:dyDescent="0.2">
      <c r="A30" s="159" t="s">
        <v>267</v>
      </c>
      <c r="B30" s="159"/>
    </row>
    <row r="31" spans="1:24" ht="14.25" x14ac:dyDescent="0.3">
      <c r="A31" s="523" t="s">
        <v>317</v>
      </c>
      <c r="B31" s="523"/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524"/>
      <c r="P31" s="524"/>
      <c r="Q31" s="524"/>
      <c r="R31" s="524"/>
      <c r="S31" s="524"/>
      <c r="T31" s="524"/>
      <c r="U31" s="524"/>
      <c r="V31" s="524"/>
    </row>
    <row r="32" spans="1:24" x14ac:dyDescent="0.2"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</row>
    <row r="33" spans="3:22" x14ac:dyDescent="0.2"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</row>
    <row r="34" spans="3:22" x14ac:dyDescent="0.2">
      <c r="D34" s="2"/>
      <c r="F34" s="2"/>
      <c r="G34" s="2"/>
      <c r="H34" s="2"/>
    </row>
    <row r="35" spans="3:22" x14ac:dyDescent="0.2">
      <c r="G35" s="2"/>
    </row>
    <row r="36" spans="3:22" x14ac:dyDescent="0.2">
      <c r="D36" s="2"/>
      <c r="F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175" spans="7:12" x14ac:dyDescent="0.2">
      <c r="G175" s="188"/>
      <c r="H175" s="188"/>
      <c r="I175" s="188"/>
      <c r="J175" s="188"/>
      <c r="K175" s="188"/>
      <c r="L175" s="188"/>
    </row>
    <row r="176" spans="7:12" x14ac:dyDescent="0.2">
      <c r="G176" s="188"/>
      <c r="H176" s="188"/>
      <c r="I176" s="188"/>
      <c r="J176" s="188"/>
      <c r="K176" s="188"/>
      <c r="L176" s="188"/>
    </row>
    <row r="177" spans="7:12" x14ac:dyDescent="0.2">
      <c r="G177" s="188"/>
      <c r="H177" s="188"/>
      <c r="I177" s="188"/>
      <c r="J177" s="188"/>
      <c r="K177" s="188"/>
      <c r="L177" s="188"/>
    </row>
    <row r="178" spans="7:12" x14ac:dyDescent="0.2">
      <c r="G178" s="188"/>
      <c r="H178" s="188"/>
      <c r="I178" s="188"/>
      <c r="J178" s="188"/>
      <c r="K178" s="188"/>
      <c r="L178" s="188"/>
    </row>
    <row r="179" spans="7:12" x14ac:dyDescent="0.2">
      <c r="G179" s="188"/>
      <c r="H179" s="188"/>
      <c r="I179" s="188"/>
      <c r="J179" s="188"/>
      <c r="K179" s="188"/>
      <c r="L179" s="188"/>
    </row>
    <row r="180" spans="7:12" x14ac:dyDescent="0.2">
      <c r="G180" s="188"/>
      <c r="H180" s="188"/>
      <c r="I180" s="188"/>
      <c r="J180" s="188"/>
      <c r="K180" s="188"/>
      <c r="L180" s="188"/>
    </row>
    <row r="181" spans="7:12" x14ac:dyDescent="0.2">
      <c r="G181" s="188"/>
      <c r="H181" s="188"/>
      <c r="I181" s="188"/>
      <c r="J181" s="188"/>
      <c r="K181" s="188"/>
      <c r="L181" s="188"/>
    </row>
    <row r="182" spans="7:12" x14ac:dyDescent="0.2">
      <c r="G182" s="188"/>
      <c r="H182" s="188"/>
      <c r="I182" s="188"/>
      <c r="J182" s="188"/>
      <c r="K182" s="188"/>
      <c r="L182" s="188"/>
    </row>
    <row r="183" spans="7:12" x14ac:dyDescent="0.2">
      <c r="G183" s="188"/>
      <c r="H183" s="188"/>
      <c r="I183" s="188"/>
      <c r="J183" s="188"/>
      <c r="K183" s="188"/>
      <c r="L183" s="188"/>
    </row>
    <row r="184" spans="7:12" x14ac:dyDescent="0.2">
      <c r="G184" s="188"/>
      <c r="H184" s="188"/>
      <c r="I184" s="188"/>
      <c r="J184" s="188"/>
      <c r="K184" s="188"/>
      <c r="L184" s="188"/>
    </row>
    <row r="185" spans="7:12" x14ac:dyDescent="0.2">
      <c r="G185" s="188"/>
      <c r="H185" s="188"/>
      <c r="I185" s="188"/>
      <c r="J185" s="188"/>
      <c r="K185" s="188"/>
      <c r="L185" s="188"/>
    </row>
    <row r="186" spans="7:12" x14ac:dyDescent="0.2">
      <c r="G186" s="188"/>
      <c r="H186" s="188"/>
      <c r="I186" s="188"/>
      <c r="J186" s="188"/>
      <c r="K186" s="188"/>
      <c r="L186" s="188"/>
    </row>
    <row r="187" spans="7:12" x14ac:dyDescent="0.2">
      <c r="G187" s="188"/>
      <c r="H187" s="188"/>
      <c r="I187" s="188"/>
      <c r="J187" s="188"/>
      <c r="K187" s="188"/>
      <c r="L187" s="188"/>
    </row>
    <row r="188" spans="7:12" x14ac:dyDescent="0.2">
      <c r="G188" s="188"/>
      <c r="H188" s="188"/>
      <c r="I188" s="188"/>
      <c r="J188" s="188"/>
      <c r="K188" s="188"/>
      <c r="L188" s="188"/>
    </row>
    <row r="189" spans="7:12" x14ac:dyDescent="0.2">
      <c r="G189" s="188"/>
      <c r="H189" s="188"/>
      <c r="I189" s="188"/>
      <c r="J189" s="188"/>
      <c r="K189" s="188"/>
      <c r="L189" s="188"/>
    </row>
    <row r="190" spans="7:12" x14ac:dyDescent="0.2">
      <c r="G190" s="188"/>
      <c r="H190" s="188"/>
      <c r="I190" s="188"/>
      <c r="J190" s="188"/>
      <c r="K190" s="188"/>
      <c r="L190" s="188"/>
    </row>
    <row r="191" spans="7:12" x14ac:dyDescent="0.2">
      <c r="G191" s="188"/>
      <c r="H191" s="188"/>
      <c r="I191" s="188"/>
      <c r="J191" s="188"/>
      <c r="K191" s="188"/>
      <c r="L191" s="188"/>
    </row>
    <row r="192" spans="7:12" x14ac:dyDescent="0.2">
      <c r="G192" s="188"/>
      <c r="H192" s="188"/>
      <c r="I192" s="188"/>
      <c r="J192" s="188"/>
      <c r="K192" s="188"/>
      <c r="L192" s="188"/>
    </row>
    <row r="193" spans="7:12" x14ac:dyDescent="0.2">
      <c r="G193" s="188"/>
      <c r="H193" s="188"/>
      <c r="I193" s="188"/>
      <c r="J193" s="188"/>
      <c r="K193" s="188"/>
      <c r="L193" s="188"/>
    </row>
  </sheetData>
  <mergeCells count="14">
    <mergeCell ref="A31:V31"/>
    <mergeCell ref="C4:V4"/>
    <mergeCell ref="A1:V1"/>
    <mergeCell ref="A2:V2"/>
    <mergeCell ref="C5:D5"/>
    <mergeCell ref="E5:F5"/>
    <mergeCell ref="G5:H5"/>
    <mergeCell ref="I5:J5"/>
    <mergeCell ref="K5:L5"/>
    <mergeCell ref="O5:P5"/>
    <mergeCell ref="Q5:R5"/>
    <mergeCell ref="S5:T5"/>
    <mergeCell ref="U5:V5"/>
    <mergeCell ref="M5:N5"/>
  </mergeCells>
  <printOptions horizontalCentered="1"/>
  <pageMargins left="0.75" right="0.75" top="1" bottom="1" header="0.5" footer="0.5"/>
  <pageSetup scale="6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view="pageBreakPreview" zoomScale="60" zoomScaleNormal="115" workbookViewId="0">
      <selection activeCell="W28" sqref="W28"/>
    </sheetView>
  </sheetViews>
  <sheetFormatPr defaultRowHeight="12.75" x14ac:dyDescent="0.2"/>
  <cols>
    <col min="1" max="1" width="14.7109375" style="14" customWidth="1"/>
    <col min="2" max="9" width="14.7109375" style="1" customWidth="1"/>
    <col min="10" max="10" width="16.7109375" style="1" customWidth="1"/>
  </cols>
  <sheetData>
    <row r="1" spans="1:10" ht="18" x14ac:dyDescent="0.25">
      <c r="A1" s="528" t="s">
        <v>20</v>
      </c>
      <c r="B1" s="528"/>
      <c r="C1" s="528"/>
      <c r="D1" s="528"/>
      <c r="E1" s="528"/>
      <c r="F1" s="528"/>
      <c r="G1" s="528"/>
      <c r="H1" s="528"/>
      <c r="I1" s="528"/>
    </row>
    <row r="2" spans="1:10" ht="15.75" x14ac:dyDescent="0.25">
      <c r="A2" s="529" t="s">
        <v>285</v>
      </c>
      <c r="B2" s="529"/>
      <c r="C2" s="529"/>
      <c r="D2" s="529"/>
      <c r="E2" s="529"/>
      <c r="F2" s="529"/>
      <c r="G2" s="529"/>
      <c r="H2" s="529"/>
      <c r="I2" s="529"/>
    </row>
    <row r="3" spans="1:10" ht="15" x14ac:dyDescent="0.2">
      <c r="A3" s="571"/>
      <c r="B3" s="571"/>
      <c r="C3" s="571"/>
      <c r="D3" s="571"/>
      <c r="E3" s="571"/>
      <c r="F3" s="571"/>
      <c r="G3" s="571"/>
      <c r="H3" s="571"/>
      <c r="I3" s="571"/>
    </row>
    <row r="5" spans="1:10" ht="16.5" thickBot="1" x14ac:dyDescent="0.3">
      <c r="A5" s="572" t="s">
        <v>286</v>
      </c>
      <c r="B5" s="572"/>
      <c r="C5" s="572"/>
      <c r="D5" s="572"/>
      <c r="E5" s="572"/>
      <c r="F5" s="572"/>
      <c r="G5" s="572"/>
      <c r="H5" s="572"/>
      <c r="I5" s="572"/>
    </row>
    <row r="6" spans="1:10" ht="24.75" customHeight="1" thickTop="1" x14ac:dyDescent="0.2">
      <c r="A6" s="48"/>
      <c r="B6" s="573" t="s">
        <v>39</v>
      </c>
      <c r="C6" s="573"/>
      <c r="D6" s="573"/>
      <c r="E6" s="47" t="s">
        <v>38</v>
      </c>
      <c r="F6" s="46" t="s">
        <v>37</v>
      </c>
      <c r="G6" s="46" t="s">
        <v>36</v>
      </c>
      <c r="H6" s="574" t="s">
        <v>35</v>
      </c>
      <c r="I6" s="575"/>
    </row>
    <row r="7" spans="1:10" s="11" customFormat="1" ht="13.5" thickBot="1" x14ac:dyDescent="0.25">
      <c r="A7" s="45" t="s">
        <v>19</v>
      </c>
      <c r="B7" s="44" t="s">
        <v>34</v>
      </c>
      <c r="C7" s="44" t="s">
        <v>33</v>
      </c>
      <c r="D7" s="44" t="s">
        <v>0</v>
      </c>
      <c r="E7" s="44" t="s">
        <v>21</v>
      </c>
      <c r="F7" s="44" t="s">
        <v>21</v>
      </c>
      <c r="G7" s="44" t="s">
        <v>32</v>
      </c>
      <c r="H7" s="43" t="s">
        <v>21</v>
      </c>
      <c r="I7" s="42" t="s">
        <v>13</v>
      </c>
      <c r="J7" s="50"/>
    </row>
    <row r="8" spans="1:10" ht="15" thickTop="1" x14ac:dyDescent="0.2">
      <c r="A8" s="41" t="s">
        <v>31</v>
      </c>
      <c r="B8" s="7">
        <v>0.56000000000000005</v>
      </c>
      <c r="C8" s="7">
        <v>0.24</v>
      </c>
      <c r="D8" s="7">
        <f>B8+C8</f>
        <v>0.8</v>
      </c>
      <c r="E8" s="582">
        <v>37893</v>
      </c>
      <c r="F8" s="7">
        <f>($E$8/2000)*D8</f>
        <v>15.157200000000001</v>
      </c>
      <c r="G8" s="39">
        <v>90</v>
      </c>
      <c r="H8" s="38">
        <f>F8*((100-G8)/100)</f>
        <v>1.5157200000000002</v>
      </c>
      <c r="I8" s="37">
        <f>H8*4.38</f>
        <v>6.6388536000000009</v>
      </c>
    </row>
    <row r="9" spans="1:10" ht="15" x14ac:dyDescent="0.25">
      <c r="A9" s="36" t="s">
        <v>30</v>
      </c>
      <c r="B9" s="6">
        <f>0.85*B8</f>
        <v>0.47600000000000003</v>
      </c>
      <c r="C9" s="6">
        <v>0.24</v>
      </c>
      <c r="D9" s="6">
        <f>B9+C9</f>
        <v>0.71599999999999997</v>
      </c>
      <c r="E9" s="583"/>
      <c r="F9" s="6">
        <f>($E$8/2000)*D9</f>
        <v>13.565693999999999</v>
      </c>
      <c r="G9" s="34">
        <v>90</v>
      </c>
      <c r="H9" s="33">
        <f>F9*((100-G9)/100)</f>
        <v>1.3565693999999999</v>
      </c>
      <c r="I9" s="32">
        <f>H9*4.38</f>
        <v>5.9417739719999991</v>
      </c>
    </row>
    <row r="10" spans="1:10" ht="15" x14ac:dyDescent="0.25">
      <c r="A10" s="36" t="s">
        <v>29</v>
      </c>
      <c r="B10" s="6">
        <f>B8*0.3</f>
        <v>0.16800000000000001</v>
      </c>
      <c r="C10" s="6">
        <v>0.24</v>
      </c>
      <c r="D10" s="6">
        <f>B10+C10</f>
        <v>0.40800000000000003</v>
      </c>
      <c r="E10" s="583"/>
      <c r="F10" s="6">
        <f>($E$8/2000)*D10</f>
        <v>7.7301720000000005</v>
      </c>
      <c r="G10" s="34">
        <v>90</v>
      </c>
      <c r="H10" s="33">
        <f>F10*((100-G10)/100)</f>
        <v>0.77301720000000007</v>
      </c>
      <c r="I10" s="32">
        <f>H10*4.38</f>
        <v>3.3858153360000003</v>
      </c>
    </row>
    <row r="11" spans="1:10" ht="15" thickBot="1" x14ac:dyDescent="0.25">
      <c r="A11" s="31" t="s">
        <v>44</v>
      </c>
      <c r="B11" s="30" t="s">
        <v>12</v>
      </c>
      <c r="C11" s="30" t="s">
        <v>12</v>
      </c>
      <c r="D11" s="29">
        <v>8.5000000000000006E-2</v>
      </c>
      <c r="E11" s="584"/>
      <c r="F11" s="29">
        <f>($E$8/2000)*D11</f>
        <v>1.6104525000000001</v>
      </c>
      <c r="G11" s="28">
        <v>90</v>
      </c>
      <c r="H11" s="27">
        <f>F11*((100-G11)/100)</f>
        <v>0.16104525000000003</v>
      </c>
      <c r="I11" s="26">
        <f>H11*4.38</f>
        <v>0.7053781950000001</v>
      </c>
    </row>
    <row r="12" spans="1:10" ht="14.25" thickTop="1" x14ac:dyDescent="0.2">
      <c r="A12" s="25" t="s">
        <v>43</v>
      </c>
    </row>
    <row r="13" spans="1:10" ht="27" customHeight="1" x14ac:dyDescent="0.2">
      <c r="A13" s="561" t="s">
        <v>46</v>
      </c>
      <c r="B13" s="561"/>
      <c r="C13" s="561"/>
      <c r="D13" s="561"/>
      <c r="E13" s="561"/>
      <c r="F13" s="561"/>
      <c r="G13" s="561"/>
      <c r="H13" s="561"/>
      <c r="I13" s="561"/>
    </row>
    <row r="14" spans="1:10" ht="28.5" customHeight="1" x14ac:dyDescent="0.2">
      <c r="A14" s="561" t="s">
        <v>45</v>
      </c>
      <c r="B14" s="561"/>
      <c r="C14" s="561"/>
      <c r="D14" s="561"/>
      <c r="E14" s="561"/>
      <c r="F14" s="561"/>
      <c r="G14" s="561"/>
      <c r="H14" s="561"/>
      <c r="I14" s="561"/>
    </row>
    <row r="15" spans="1:10" ht="13.5" x14ac:dyDescent="0.2">
      <c r="A15" s="25" t="s">
        <v>40</v>
      </c>
    </row>
    <row r="16" spans="1:10" x14ac:dyDescent="0.2">
      <c r="A16" s="49"/>
    </row>
    <row r="17" spans="1:9" customFormat="1" ht="16.5" thickBot="1" x14ac:dyDescent="0.3">
      <c r="A17" s="572" t="s">
        <v>287</v>
      </c>
      <c r="B17" s="572"/>
      <c r="C17" s="572"/>
      <c r="D17" s="572"/>
      <c r="E17" s="572"/>
      <c r="F17" s="572"/>
      <c r="G17" s="572"/>
      <c r="H17" s="572"/>
      <c r="I17" s="572"/>
    </row>
    <row r="18" spans="1:9" customFormat="1" ht="26.25" thickTop="1" x14ac:dyDescent="0.2">
      <c r="A18" s="48"/>
      <c r="B18" s="573" t="s">
        <v>39</v>
      </c>
      <c r="C18" s="573"/>
      <c r="D18" s="573"/>
      <c r="E18" s="47" t="s">
        <v>38</v>
      </c>
      <c r="F18" s="46" t="s">
        <v>37</v>
      </c>
      <c r="G18" s="46" t="s">
        <v>36</v>
      </c>
      <c r="H18" s="574" t="s">
        <v>35</v>
      </c>
      <c r="I18" s="575"/>
    </row>
    <row r="19" spans="1:9" customFormat="1" ht="13.5" thickBot="1" x14ac:dyDescent="0.25">
      <c r="A19" s="45" t="s">
        <v>19</v>
      </c>
      <c r="B19" s="44" t="s">
        <v>34</v>
      </c>
      <c r="C19" s="44" t="s">
        <v>33</v>
      </c>
      <c r="D19" s="44" t="s">
        <v>0</v>
      </c>
      <c r="E19" s="44" t="s">
        <v>21</v>
      </c>
      <c r="F19" s="44" t="s">
        <v>21</v>
      </c>
      <c r="G19" s="44" t="s">
        <v>32</v>
      </c>
      <c r="H19" s="43" t="s">
        <v>21</v>
      </c>
      <c r="I19" s="42" t="s">
        <v>13</v>
      </c>
    </row>
    <row r="20" spans="1:9" customFormat="1" ht="15" thickTop="1" x14ac:dyDescent="0.2">
      <c r="A20" s="41" t="s">
        <v>31</v>
      </c>
      <c r="B20" s="7">
        <v>0.56000000000000005</v>
      </c>
      <c r="C20" s="7">
        <v>0.24</v>
      </c>
      <c r="D20" s="7">
        <f>B20+C20</f>
        <v>0.8</v>
      </c>
      <c r="E20" s="582">
        <v>10717</v>
      </c>
      <c r="F20" s="7">
        <f>($E$20/2000)*D20</f>
        <v>4.2868000000000004</v>
      </c>
      <c r="G20" s="39">
        <v>90</v>
      </c>
      <c r="H20" s="38">
        <f>F20*((100-G20)/100)</f>
        <v>0.42868000000000006</v>
      </c>
      <c r="I20" s="37">
        <f>H20*4.38</f>
        <v>1.8776184000000002</v>
      </c>
    </row>
    <row r="21" spans="1:9" customFormat="1" ht="15" x14ac:dyDescent="0.25">
      <c r="A21" s="36" t="s">
        <v>30</v>
      </c>
      <c r="B21" s="6">
        <f>0.85*B20</f>
        <v>0.47600000000000003</v>
      </c>
      <c r="C21" s="6">
        <v>0.24</v>
      </c>
      <c r="D21" s="6">
        <f>B21+C21</f>
        <v>0.71599999999999997</v>
      </c>
      <c r="E21" s="583"/>
      <c r="F21" s="6">
        <f>($E$20/2000)*D21</f>
        <v>3.8366859999999998</v>
      </c>
      <c r="G21" s="34">
        <v>90</v>
      </c>
      <c r="H21" s="33">
        <f>F21*((100-G21)/100)</f>
        <v>0.38366860000000003</v>
      </c>
      <c r="I21" s="32">
        <f>H21*4.38</f>
        <v>1.6804684680000002</v>
      </c>
    </row>
    <row r="22" spans="1:9" customFormat="1" ht="15" x14ac:dyDescent="0.25">
      <c r="A22" s="36" t="s">
        <v>29</v>
      </c>
      <c r="B22" s="6">
        <f>B20*0.3</f>
        <v>0.16800000000000001</v>
      </c>
      <c r="C22" s="6">
        <v>0.24</v>
      </c>
      <c r="D22" s="6">
        <f>B22+C22</f>
        <v>0.40800000000000003</v>
      </c>
      <c r="E22" s="583"/>
      <c r="F22" s="6">
        <f>($E$20/2000)*D22</f>
        <v>2.1862680000000001</v>
      </c>
      <c r="G22" s="34">
        <v>90</v>
      </c>
      <c r="H22" s="33">
        <f>F22*((100-G22)/100)</f>
        <v>0.21862680000000001</v>
      </c>
      <c r="I22" s="32">
        <f>H22*4.38</f>
        <v>0.95758538400000004</v>
      </c>
    </row>
    <row r="23" spans="1:9" customFormat="1" ht="15" thickBot="1" x14ac:dyDescent="0.25">
      <c r="A23" s="31" t="s">
        <v>44</v>
      </c>
      <c r="B23" s="30" t="s">
        <v>12</v>
      </c>
      <c r="C23" s="30" t="s">
        <v>12</v>
      </c>
      <c r="D23" s="29">
        <v>8.5000000000000006E-2</v>
      </c>
      <c r="E23" s="584"/>
      <c r="F23" s="29">
        <f>($E$20/2000)*D23</f>
        <v>0.45547250000000006</v>
      </c>
      <c r="G23" s="28">
        <v>90</v>
      </c>
      <c r="H23" s="27">
        <f>F23*((100-G23)/100)</f>
        <v>4.5547250000000011E-2</v>
      </c>
      <c r="I23" s="26">
        <f>H23*4.38</f>
        <v>0.19949695500000003</v>
      </c>
    </row>
    <row r="24" spans="1:9" customFormat="1" ht="14.25" thickTop="1" x14ac:dyDescent="0.2">
      <c r="A24" s="25" t="s">
        <v>43</v>
      </c>
      <c r="B24" s="1"/>
      <c r="C24" s="1"/>
      <c r="D24" s="1"/>
      <c r="E24" s="1"/>
      <c r="F24" s="1"/>
      <c r="G24" s="1"/>
      <c r="H24" s="1"/>
      <c r="I24" s="1"/>
    </row>
    <row r="25" spans="1:9" customFormat="1" ht="27" customHeight="1" x14ac:dyDescent="0.2">
      <c r="A25" s="561" t="s">
        <v>42</v>
      </c>
      <c r="B25" s="561"/>
      <c r="C25" s="561"/>
      <c r="D25" s="561"/>
      <c r="E25" s="561"/>
      <c r="F25" s="561"/>
      <c r="G25" s="561"/>
      <c r="H25" s="561"/>
      <c r="I25" s="561"/>
    </row>
    <row r="26" spans="1:9" customFormat="1" ht="28.5" customHeight="1" x14ac:dyDescent="0.2">
      <c r="A26" s="561" t="s">
        <v>41</v>
      </c>
      <c r="B26" s="561"/>
      <c r="C26" s="561"/>
      <c r="D26" s="561"/>
      <c r="E26" s="561"/>
      <c r="F26" s="561"/>
      <c r="G26" s="561"/>
      <c r="H26" s="561"/>
      <c r="I26" s="561"/>
    </row>
    <row r="27" spans="1:9" customFormat="1" ht="13.5" x14ac:dyDescent="0.2">
      <c r="A27" s="25" t="s">
        <v>40</v>
      </c>
      <c r="B27" s="1"/>
      <c r="C27" s="1"/>
      <c r="D27" s="1"/>
      <c r="E27" s="1"/>
      <c r="F27" s="1"/>
      <c r="G27" s="1"/>
      <c r="H27" s="1"/>
      <c r="I27" s="1"/>
    </row>
    <row r="29" spans="1:9" customFormat="1" ht="16.5" thickBot="1" x14ac:dyDescent="0.3">
      <c r="A29" s="572" t="s">
        <v>288</v>
      </c>
      <c r="B29" s="572"/>
      <c r="C29" s="572"/>
      <c r="D29" s="572"/>
      <c r="E29" s="572"/>
      <c r="F29" s="572"/>
      <c r="G29" s="572"/>
      <c r="H29" s="572"/>
      <c r="I29" s="572"/>
    </row>
    <row r="30" spans="1:9" customFormat="1" ht="26.25" thickTop="1" x14ac:dyDescent="0.2">
      <c r="A30" s="48"/>
      <c r="B30" s="573" t="s">
        <v>39</v>
      </c>
      <c r="C30" s="573"/>
      <c r="D30" s="573"/>
      <c r="E30" s="47" t="s">
        <v>38</v>
      </c>
      <c r="F30" s="46" t="s">
        <v>37</v>
      </c>
      <c r="G30" s="46" t="s">
        <v>36</v>
      </c>
      <c r="H30" s="574" t="s">
        <v>35</v>
      </c>
      <c r="I30" s="575"/>
    </row>
    <row r="31" spans="1:9" customFormat="1" ht="13.5" thickBot="1" x14ac:dyDescent="0.25">
      <c r="A31" s="45" t="s">
        <v>19</v>
      </c>
      <c r="B31" s="44" t="s">
        <v>34</v>
      </c>
      <c r="C31" s="44" t="s">
        <v>33</v>
      </c>
      <c r="D31" s="44" t="s">
        <v>0</v>
      </c>
      <c r="E31" s="44" t="s">
        <v>21</v>
      </c>
      <c r="F31" s="44" t="s">
        <v>21</v>
      </c>
      <c r="G31" s="44" t="s">
        <v>32</v>
      </c>
      <c r="H31" s="43" t="s">
        <v>21</v>
      </c>
      <c r="I31" s="42" t="s">
        <v>13</v>
      </c>
    </row>
    <row r="32" spans="1:9" customFormat="1" ht="15" thickTop="1" x14ac:dyDescent="0.2">
      <c r="A32" s="41" t="s">
        <v>31</v>
      </c>
      <c r="B32" s="7">
        <f>0.067/0.2</f>
        <v>0.33500000000000002</v>
      </c>
      <c r="C32" s="40" t="s">
        <v>12</v>
      </c>
      <c r="D32" s="7">
        <f>B32</f>
        <v>0.33500000000000002</v>
      </c>
      <c r="E32" s="582">
        <v>9860</v>
      </c>
      <c r="F32" s="7">
        <f>($E$32/2000)*D32</f>
        <v>1.6515500000000001</v>
      </c>
      <c r="G32" s="39">
        <v>90</v>
      </c>
      <c r="H32" s="38">
        <f>F32*((100-G32)/100)</f>
        <v>0.16515500000000002</v>
      </c>
      <c r="I32" s="37">
        <f>H32*4.38</f>
        <v>0.72337890000000005</v>
      </c>
    </row>
    <row r="33" spans="1:9" customFormat="1" ht="15" x14ac:dyDescent="0.25">
      <c r="A33" s="36" t="s">
        <v>30</v>
      </c>
      <c r="B33" s="6">
        <f>0.85*B32</f>
        <v>0.28475</v>
      </c>
      <c r="C33" s="35" t="s">
        <v>12</v>
      </c>
      <c r="D33" s="6">
        <f>B33</f>
        <v>0.28475</v>
      </c>
      <c r="E33" s="583"/>
      <c r="F33" s="6">
        <f>($E$32/2000)*D33</f>
        <v>1.4038174999999999</v>
      </c>
      <c r="G33" s="34">
        <v>90</v>
      </c>
      <c r="H33" s="33">
        <f>F33*((100-G33)/100)</f>
        <v>0.14038175</v>
      </c>
      <c r="I33" s="32">
        <f>H33*4.38</f>
        <v>0.61487206500000002</v>
      </c>
    </row>
    <row r="34" spans="1:9" customFormat="1" ht="15.75" thickBot="1" x14ac:dyDescent="0.3">
      <c r="A34" s="31" t="s">
        <v>29</v>
      </c>
      <c r="B34" s="29">
        <f>B32*0.3</f>
        <v>0.10050000000000001</v>
      </c>
      <c r="C34" s="30" t="s">
        <v>12</v>
      </c>
      <c r="D34" s="29">
        <f>B34</f>
        <v>0.10050000000000001</v>
      </c>
      <c r="E34" s="584"/>
      <c r="F34" s="29">
        <f>($E$32/2000)*D34</f>
        <v>0.49546499999999999</v>
      </c>
      <c r="G34" s="28">
        <v>90</v>
      </c>
      <c r="H34" s="27">
        <f>F34*((100-G34)/100)</f>
        <v>4.95465E-2</v>
      </c>
      <c r="I34" s="26">
        <f>H34*4.38</f>
        <v>0.21701366999999999</v>
      </c>
    </row>
    <row r="35" spans="1:9" customFormat="1" ht="14.25" thickTop="1" x14ac:dyDescent="0.2">
      <c r="A35" s="25" t="s">
        <v>28</v>
      </c>
      <c r="B35" s="1"/>
      <c r="C35" s="1"/>
      <c r="D35" s="1"/>
      <c r="E35" s="1"/>
      <c r="F35" s="1"/>
      <c r="G35" s="1"/>
      <c r="H35" s="1"/>
      <c r="I35" s="1"/>
    </row>
    <row r="36" spans="1:9" customFormat="1" ht="14.25" x14ac:dyDescent="0.25">
      <c r="A36" s="25" t="s">
        <v>27</v>
      </c>
      <c r="B36" s="1"/>
      <c r="C36" s="1"/>
      <c r="D36" s="1"/>
      <c r="E36" s="1"/>
      <c r="F36" s="1"/>
      <c r="G36" s="1"/>
      <c r="H36" s="1"/>
      <c r="I36" s="1"/>
    </row>
    <row r="37" spans="1:9" customFormat="1" ht="14.25" x14ac:dyDescent="0.25">
      <c r="A37" s="25" t="s">
        <v>26</v>
      </c>
      <c r="B37" s="1"/>
      <c r="C37" s="1"/>
      <c r="D37" s="1"/>
      <c r="E37" s="1"/>
      <c r="F37" s="1"/>
      <c r="G37" s="1"/>
      <c r="H37" s="1"/>
      <c r="I37" s="1"/>
    </row>
    <row r="38" spans="1:9" customFormat="1" ht="13.5" x14ac:dyDescent="0.2">
      <c r="A38" s="25"/>
      <c r="B38" s="1"/>
      <c r="C38" s="1"/>
      <c r="D38" s="1"/>
      <c r="E38" s="1"/>
      <c r="F38" s="1"/>
      <c r="G38" s="1"/>
      <c r="H38" s="1"/>
      <c r="I38" s="1"/>
    </row>
    <row r="39" spans="1:9" customFormat="1" ht="16.5" thickBot="1" x14ac:dyDescent="0.3">
      <c r="A39" s="585" t="s">
        <v>25</v>
      </c>
      <c r="B39" s="585"/>
      <c r="C39" s="585"/>
      <c r="D39" s="585"/>
      <c r="E39" s="585"/>
      <c r="F39" s="585"/>
      <c r="G39" s="585"/>
      <c r="H39" s="585"/>
      <c r="I39" s="585"/>
    </row>
    <row r="40" spans="1:9" customFormat="1" ht="39" thickTop="1" x14ac:dyDescent="0.2">
      <c r="A40" s="14"/>
      <c r="B40" s="1"/>
      <c r="C40" s="586" t="s">
        <v>19</v>
      </c>
      <c r="D40" s="587"/>
      <c r="E40" s="24" t="s">
        <v>24</v>
      </c>
      <c r="F40" s="24" t="s">
        <v>23</v>
      </c>
      <c r="G40" s="23" t="s">
        <v>22</v>
      </c>
      <c r="H40" s="1"/>
      <c r="I40" s="1"/>
    </row>
    <row r="41" spans="1:9" customFormat="1" ht="13.5" thickBot="1" x14ac:dyDescent="0.25">
      <c r="A41" s="14"/>
      <c r="B41" s="1"/>
      <c r="C41" s="588"/>
      <c r="D41" s="589"/>
      <c r="E41" s="22" t="s">
        <v>21</v>
      </c>
      <c r="F41" s="22" t="s">
        <v>13</v>
      </c>
      <c r="G41" s="21" t="s">
        <v>13</v>
      </c>
      <c r="H41" s="1"/>
      <c r="I41" s="1"/>
    </row>
    <row r="42" spans="1:9" customFormat="1" ht="13.5" thickTop="1" x14ac:dyDescent="0.2">
      <c r="A42" s="14"/>
      <c r="B42" s="1"/>
      <c r="C42" s="593" t="s">
        <v>18</v>
      </c>
      <c r="D42" s="594"/>
      <c r="E42" s="20">
        <f>H8+H20+H32</f>
        <v>2.1095550000000003</v>
      </c>
      <c r="F42" s="20">
        <f>E42*4.38</f>
        <v>9.2398509000000004</v>
      </c>
      <c r="G42" s="19">
        <f>F42</f>
        <v>9.2398509000000004</v>
      </c>
      <c r="H42" s="1"/>
      <c r="I42" s="1"/>
    </row>
    <row r="43" spans="1:9" customFormat="1" ht="14.25" x14ac:dyDescent="0.25">
      <c r="A43" s="14"/>
      <c r="B43" s="1"/>
      <c r="C43" s="578" t="s">
        <v>17</v>
      </c>
      <c r="D43" s="579"/>
      <c r="E43" s="20">
        <f>H9+H21+H33</f>
        <v>1.8806197499999999</v>
      </c>
      <c r="F43" s="20">
        <f>E43*4.38</f>
        <v>8.2371145049999992</v>
      </c>
      <c r="G43" s="19">
        <f>F43</f>
        <v>8.2371145049999992</v>
      </c>
      <c r="H43" s="1"/>
      <c r="I43" s="1"/>
    </row>
    <row r="44" spans="1:9" customFormat="1" ht="14.25" x14ac:dyDescent="0.25">
      <c r="A44" s="14"/>
      <c r="B44" s="1"/>
      <c r="C44" s="580" t="s">
        <v>16</v>
      </c>
      <c r="D44" s="581"/>
      <c r="E44" s="18">
        <f>H10+H22+H34</f>
        <v>1.0411905000000001</v>
      </c>
      <c r="F44" s="18">
        <f>E44*4.38</f>
        <v>4.56041439</v>
      </c>
      <c r="G44" s="17">
        <f>F44</f>
        <v>4.56041439</v>
      </c>
      <c r="H44" s="1"/>
      <c r="I44" s="1"/>
    </row>
    <row r="45" spans="1:9" customFormat="1" ht="13.5" thickBot="1" x14ac:dyDescent="0.25">
      <c r="A45" s="14"/>
      <c r="B45" s="1"/>
      <c r="C45" s="613" t="s">
        <v>15</v>
      </c>
      <c r="D45" s="614"/>
      <c r="E45" s="16">
        <f>H11+H23</f>
        <v>0.20659250000000004</v>
      </c>
      <c r="F45" s="16">
        <f>E45*4.38</f>
        <v>0.90487515000000018</v>
      </c>
      <c r="G45" s="15">
        <f>F45</f>
        <v>0.90487515000000018</v>
      </c>
      <c r="H45" s="1"/>
      <c r="I45" s="1"/>
    </row>
  </sheetData>
  <mergeCells count="25">
    <mergeCell ref="C45:D45"/>
    <mergeCell ref="C40:D41"/>
    <mergeCell ref="C42:D42"/>
    <mergeCell ref="E20:E23"/>
    <mergeCell ref="A29:I29"/>
    <mergeCell ref="H30:I30"/>
    <mergeCell ref="C44:D44"/>
    <mergeCell ref="A39:I39"/>
    <mergeCell ref="C43:D43"/>
    <mergeCell ref="A1:I1"/>
    <mergeCell ref="A2:I2"/>
    <mergeCell ref="E32:E34"/>
    <mergeCell ref="A5:I5"/>
    <mergeCell ref="A17:I17"/>
    <mergeCell ref="B18:D18"/>
    <mergeCell ref="H18:I18"/>
    <mergeCell ref="A13:I13"/>
    <mergeCell ref="A14:I14"/>
    <mergeCell ref="B30:D30"/>
    <mergeCell ref="A3:I3"/>
    <mergeCell ref="A25:I25"/>
    <mergeCell ref="A26:I26"/>
    <mergeCell ref="B6:D6"/>
    <mergeCell ref="H6:I6"/>
    <mergeCell ref="E8:E11"/>
  </mergeCells>
  <printOptions horizontalCentered="1"/>
  <pageMargins left="0.75" right="0.75" top="1" bottom="1" header="0.5" footer="0.5"/>
  <pageSetup scale="68" orientation="portrait" horizontalDpi="4294967293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01"/>
  <sheetViews>
    <sheetView tabSelected="1" view="pageBreakPreview" zoomScale="80" zoomScaleNormal="100" zoomScaleSheetLayoutView="80" workbookViewId="0">
      <selection activeCell="K137" sqref="K137"/>
    </sheetView>
  </sheetViews>
  <sheetFormatPr defaultRowHeight="12.75" x14ac:dyDescent="0.2"/>
  <cols>
    <col min="1" max="1" width="11.42578125" style="267" customWidth="1"/>
    <col min="2" max="2" width="29.28515625" style="267" customWidth="1"/>
    <col min="3" max="3" width="11.28515625" style="267" customWidth="1"/>
    <col min="4" max="4" width="12.7109375" style="267" bestFit="1" customWidth="1"/>
    <col min="5" max="5" width="12" style="267" customWidth="1"/>
    <col min="6" max="6" width="11.85546875" style="267" customWidth="1"/>
    <col min="7" max="7" width="12.7109375" style="267" bestFit="1" customWidth="1"/>
    <col min="8" max="8" width="13.5703125" style="267" bestFit="1" customWidth="1"/>
    <col min="9" max="9" width="10.5703125" style="267" bestFit="1" customWidth="1"/>
    <col min="10" max="10" width="11.7109375" style="267" bestFit="1" customWidth="1"/>
    <col min="11" max="11" width="11.85546875" style="267" customWidth="1"/>
    <col min="12" max="12" width="11.5703125" style="267" customWidth="1"/>
    <col min="13" max="13" width="10.7109375" style="267" customWidth="1"/>
    <col min="14" max="14" width="12.42578125" style="267" bestFit="1" customWidth="1"/>
    <col min="15" max="15" width="12.28515625" style="267" customWidth="1"/>
    <col min="16" max="17" width="13" style="267" customWidth="1"/>
    <col min="18" max="18" width="13.85546875" style="267" customWidth="1"/>
    <col min="19" max="16384" width="9.140625" style="267"/>
  </cols>
  <sheetData>
    <row r="1" spans="1:20" s="216" customFormat="1" ht="18" x14ac:dyDescent="0.25">
      <c r="A1" s="616" t="s">
        <v>20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</row>
    <row r="2" spans="1:20" s="216" customFormat="1" ht="15.75" x14ac:dyDescent="0.25">
      <c r="A2" s="615" t="s">
        <v>68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</row>
    <row r="3" spans="1:20" s="216" customFormat="1" ht="15.75" x14ac:dyDescent="0.25">
      <c r="A3" s="615" t="s">
        <v>373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</row>
    <row r="4" spans="1:20" s="219" customFormat="1" x14ac:dyDescent="0.2">
      <c r="A4" s="217" t="s">
        <v>116</v>
      </c>
      <c r="B4" s="218"/>
    </row>
    <row r="5" spans="1:20" s="219" customFormat="1" x14ac:dyDescent="0.2">
      <c r="A5" s="216" t="s">
        <v>117</v>
      </c>
      <c r="B5" s="216">
        <v>51</v>
      </c>
      <c r="C5" s="216" t="s">
        <v>63</v>
      </c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</row>
    <row r="6" spans="1:20" s="219" customFormat="1" x14ac:dyDescent="0.2">
      <c r="A6" s="216" t="s">
        <v>118</v>
      </c>
      <c r="B6" s="216">
        <f>B5/H6/1000</f>
        <v>0.34</v>
      </c>
      <c r="C6" s="216" t="s">
        <v>119</v>
      </c>
      <c r="D6" s="216"/>
      <c r="E6" s="216" t="s">
        <v>120</v>
      </c>
      <c r="F6" s="216"/>
      <c r="G6" s="216"/>
      <c r="H6" s="220">
        <f>150000/1000000</f>
        <v>0.15</v>
      </c>
      <c r="I6" s="216" t="s">
        <v>121</v>
      </c>
      <c r="J6" s="216"/>
      <c r="K6" s="216" t="s">
        <v>257</v>
      </c>
      <c r="L6" s="221">
        <v>1.5</v>
      </c>
      <c r="M6" s="216" t="s">
        <v>258</v>
      </c>
      <c r="N6" s="216"/>
      <c r="O6" s="216"/>
      <c r="P6" s="216"/>
      <c r="Q6" s="216"/>
      <c r="R6" s="216"/>
    </row>
    <row r="7" spans="1:20" s="219" customFormat="1" x14ac:dyDescent="0.2">
      <c r="A7" s="216" t="s">
        <v>122</v>
      </c>
      <c r="B7" s="216">
        <f>B5/H7/1000</f>
        <v>0.36427270454626626</v>
      </c>
      <c r="C7" s="216" t="s">
        <v>119</v>
      </c>
      <c r="D7" s="216"/>
      <c r="E7" s="216" t="s">
        <v>123</v>
      </c>
      <c r="F7" s="216"/>
      <c r="G7" s="216"/>
      <c r="H7" s="216">
        <f>140005/1000000</f>
        <v>0.14000499999999999</v>
      </c>
      <c r="I7" s="216" t="s">
        <v>121</v>
      </c>
      <c r="J7" s="216"/>
      <c r="K7" s="216" t="s">
        <v>259</v>
      </c>
      <c r="L7" s="221">
        <v>0.5</v>
      </c>
      <c r="M7" s="216" t="s">
        <v>258</v>
      </c>
      <c r="N7" s="216"/>
      <c r="O7" s="216"/>
      <c r="P7" s="216"/>
      <c r="Q7" s="216"/>
      <c r="R7" s="216"/>
    </row>
    <row r="8" spans="1:20" s="219" customFormat="1" x14ac:dyDescent="0.2">
      <c r="A8" s="216" t="s">
        <v>124</v>
      </c>
      <c r="B8" s="216">
        <f>B5/H8</f>
        <v>0.05</v>
      </c>
      <c r="C8" s="216" t="s">
        <v>125</v>
      </c>
      <c r="D8" s="216"/>
      <c r="E8" s="216" t="s">
        <v>126</v>
      </c>
      <c r="F8" s="216"/>
      <c r="G8" s="216"/>
      <c r="H8" s="216">
        <v>1020</v>
      </c>
      <c r="I8" s="216" t="s">
        <v>127</v>
      </c>
      <c r="J8" s="216"/>
      <c r="K8" s="216"/>
      <c r="L8" s="216"/>
      <c r="M8" s="216"/>
      <c r="N8" s="216"/>
      <c r="O8" s="216"/>
      <c r="P8" s="216"/>
      <c r="Q8" s="216"/>
      <c r="R8" s="216"/>
    </row>
    <row r="9" spans="1:20" s="219" customFormat="1" x14ac:dyDescent="0.2">
      <c r="A9" s="216" t="s">
        <v>246</v>
      </c>
      <c r="B9" s="216">
        <f>B5/H9/1000</f>
        <v>0.40052460870316414</v>
      </c>
      <c r="C9" s="216" t="s">
        <v>119</v>
      </c>
      <c r="D9" s="216"/>
      <c r="E9" s="216" t="s">
        <v>247</v>
      </c>
      <c r="F9" s="216"/>
      <c r="G9" s="216"/>
      <c r="H9" s="406">
        <f>127333/1000000</f>
        <v>0.127333</v>
      </c>
      <c r="I9" s="216" t="s">
        <v>121</v>
      </c>
      <c r="J9" s="216"/>
      <c r="K9" s="216" t="s">
        <v>263</v>
      </c>
      <c r="L9" s="221">
        <v>0.1</v>
      </c>
      <c r="M9" s="216" t="s">
        <v>258</v>
      </c>
      <c r="N9" s="216"/>
      <c r="O9" s="216"/>
      <c r="P9" s="216"/>
      <c r="Q9" s="216"/>
      <c r="R9" s="216"/>
    </row>
    <row r="10" spans="1:20" s="223" customFormat="1" ht="63.75" x14ac:dyDescent="0.2">
      <c r="A10" s="222" t="s">
        <v>128</v>
      </c>
      <c r="B10" s="222" t="s">
        <v>19</v>
      </c>
      <c r="C10" s="222" t="s">
        <v>129</v>
      </c>
      <c r="D10" s="222" t="s">
        <v>130</v>
      </c>
      <c r="E10" s="222" t="s">
        <v>131</v>
      </c>
      <c r="F10" s="222" t="s">
        <v>251</v>
      </c>
      <c r="G10" s="222" t="s">
        <v>132</v>
      </c>
      <c r="H10" s="222" t="s">
        <v>133</v>
      </c>
      <c r="I10" s="222" t="s">
        <v>134</v>
      </c>
      <c r="J10" s="222" t="s">
        <v>252</v>
      </c>
      <c r="K10" s="222" t="s">
        <v>135</v>
      </c>
      <c r="L10" s="222" t="s">
        <v>136</v>
      </c>
      <c r="M10" s="222" t="s">
        <v>137</v>
      </c>
      <c r="T10" s="224" t="s">
        <v>138</v>
      </c>
    </row>
    <row r="11" spans="1:20" s="219" customFormat="1" x14ac:dyDescent="0.2">
      <c r="A11" s="617" t="s">
        <v>248</v>
      </c>
      <c r="B11" s="225" t="s">
        <v>139</v>
      </c>
      <c r="C11" s="226">
        <v>1.7999999999999999E-6</v>
      </c>
      <c r="D11" s="226">
        <v>2.1100000000000001E-5</v>
      </c>
      <c r="E11" s="226">
        <v>2.1100000000000001E-5</v>
      </c>
      <c r="F11" s="226">
        <v>2.1100000000000001E-5</v>
      </c>
      <c r="G11" s="226">
        <f>C11*$B$8</f>
        <v>8.9999999999999999E-8</v>
      </c>
      <c r="H11" s="226">
        <f>D11*$B$7</f>
        <v>7.6861540659262177E-6</v>
      </c>
      <c r="I11" s="226">
        <f>E11*$B$6</f>
        <v>7.1740000000000011E-6</v>
      </c>
      <c r="J11" s="226">
        <f>F11*$B$9</f>
        <v>8.4510692436367636E-6</v>
      </c>
      <c r="K11" s="227">
        <f>MAX(G11:J11)</f>
        <v>8.4510692436367636E-6</v>
      </c>
      <c r="L11" s="227">
        <f>K11*8760/2000</f>
        <v>3.7015683287129023E-5</v>
      </c>
      <c r="M11" s="227">
        <f>K11*8760/2000</f>
        <v>3.7015683287129023E-5</v>
      </c>
      <c r="N11" s="522">
        <f>I11-G11</f>
        <v>7.0840000000000011E-6</v>
      </c>
      <c r="T11" s="228">
        <f>M28+I149+I89+K427+M501+F555</f>
        <v>2.9243127559449316</v>
      </c>
    </row>
    <row r="12" spans="1:20" s="219" customFormat="1" x14ac:dyDescent="0.2">
      <c r="A12" s="617"/>
      <c r="B12" s="225" t="s">
        <v>140</v>
      </c>
      <c r="C12" s="226">
        <v>1.7999999999999999E-6</v>
      </c>
      <c r="D12" s="226">
        <v>2.53E-7</v>
      </c>
      <c r="E12" s="226">
        <v>2.53E-7</v>
      </c>
      <c r="F12" s="226">
        <v>2.53E-7</v>
      </c>
      <c r="G12" s="226">
        <f t="shared" ref="G12:G23" si="0">C12*$B$8</f>
        <v>8.9999999999999999E-8</v>
      </c>
      <c r="H12" s="226">
        <f>D12*$B$7</f>
        <v>9.2160994250205359E-8</v>
      </c>
      <c r="I12" s="226">
        <f>E12*$B$6</f>
        <v>8.6020000000000012E-8</v>
      </c>
      <c r="J12" s="226">
        <f>F12*$B$9</f>
        <v>1.0133272600190053E-7</v>
      </c>
      <c r="K12" s="227">
        <f>MAX(G12:J12)</f>
        <v>1.0133272600190053E-7</v>
      </c>
      <c r="L12" s="227">
        <f t="shared" ref="L12:L60" si="1">K12*8760/2000</f>
        <v>4.4383733988832429E-7</v>
      </c>
      <c r="M12" s="227">
        <f t="shared" ref="M12:M55" si="2">K12*8760/2000</f>
        <v>4.4383733988832429E-7</v>
      </c>
      <c r="N12" s="522">
        <f t="shared" ref="N12:N48" si="3">I12-G12</f>
        <v>-3.9799999999999867E-9</v>
      </c>
    </row>
    <row r="13" spans="1:20" s="219" customFormat="1" x14ac:dyDescent="0.2">
      <c r="A13" s="617"/>
      <c r="B13" s="225" t="s">
        <v>141</v>
      </c>
      <c r="C13" s="226">
        <v>2.3999999999999999E-6</v>
      </c>
      <c r="D13" s="226">
        <v>1.22E-6</v>
      </c>
      <c r="E13" s="226">
        <v>1.22E-6</v>
      </c>
      <c r="F13" s="226">
        <v>1.22E-6</v>
      </c>
      <c r="G13" s="226">
        <f t="shared" si="0"/>
        <v>1.1999999999999999E-7</v>
      </c>
      <c r="H13" s="226">
        <f>D13*$B$7</f>
        <v>4.4441269954644482E-7</v>
      </c>
      <c r="I13" s="226">
        <f>E13*$B$6</f>
        <v>4.1480000000000004E-7</v>
      </c>
      <c r="J13" s="226">
        <f t="shared" ref="J13:J59" si="4">F13*$B$9</f>
        <v>4.8864002261786023E-7</v>
      </c>
      <c r="K13" s="227">
        <f t="shared" ref="K13:K47" si="5">MAX(G13:J13)</f>
        <v>4.8864002261786023E-7</v>
      </c>
      <c r="L13" s="227">
        <f t="shared" si="1"/>
        <v>2.1402432990662281E-6</v>
      </c>
      <c r="M13" s="227">
        <f t="shared" si="2"/>
        <v>2.1402432990662281E-6</v>
      </c>
      <c r="N13" s="522">
        <f t="shared" si="3"/>
        <v>2.9480000000000002E-7</v>
      </c>
    </row>
    <row r="14" spans="1:20" s="219" customFormat="1" x14ac:dyDescent="0.2">
      <c r="A14" s="617"/>
      <c r="B14" s="225" t="s">
        <v>142</v>
      </c>
      <c r="C14" s="226">
        <v>1.7999999999999999E-6</v>
      </c>
      <c r="D14" s="226">
        <v>4.0099999999999997E-6</v>
      </c>
      <c r="E14" s="226">
        <v>4.0099999999999997E-6</v>
      </c>
      <c r="F14" s="226">
        <v>4.0099999999999997E-6</v>
      </c>
      <c r="G14" s="226">
        <f t="shared" si="0"/>
        <v>8.9999999999999999E-8</v>
      </c>
      <c r="H14" s="226">
        <f>D14*$B$7</f>
        <v>1.4607335452305275E-6</v>
      </c>
      <c r="I14" s="226">
        <f>E14*$B$6</f>
        <v>1.3633999999999999E-6</v>
      </c>
      <c r="J14" s="226">
        <f t="shared" si="4"/>
        <v>1.6061036808996881E-6</v>
      </c>
      <c r="K14" s="227">
        <f t="shared" si="5"/>
        <v>1.6061036808996881E-6</v>
      </c>
      <c r="L14" s="227">
        <f t="shared" si="1"/>
        <v>7.0347341223406339E-6</v>
      </c>
      <c r="M14" s="227">
        <f t="shared" si="2"/>
        <v>7.0347341223406339E-6</v>
      </c>
      <c r="N14" s="522">
        <f t="shared" si="3"/>
        <v>1.2734E-6</v>
      </c>
    </row>
    <row r="15" spans="1:20" s="219" customFormat="1" x14ac:dyDescent="0.2">
      <c r="A15" s="617"/>
      <c r="B15" s="225" t="s">
        <v>143</v>
      </c>
      <c r="C15" s="226">
        <v>2.0999999999999999E-3</v>
      </c>
      <c r="D15" s="226">
        <v>2.14E-4</v>
      </c>
      <c r="E15" s="226">
        <v>2.14E-4</v>
      </c>
      <c r="F15" s="226">
        <v>2.14E-4</v>
      </c>
      <c r="G15" s="226">
        <f t="shared" si="0"/>
        <v>1.05E-4</v>
      </c>
      <c r="H15" s="226">
        <f>D15*$B$7</f>
        <v>7.7954358772900975E-5</v>
      </c>
      <c r="I15" s="226">
        <f>E15*$B$6</f>
        <v>7.2760000000000001E-5</v>
      </c>
      <c r="J15" s="226">
        <f t="shared" si="4"/>
        <v>8.5712266262477123E-5</v>
      </c>
      <c r="K15" s="227">
        <f t="shared" si="5"/>
        <v>1.05E-4</v>
      </c>
      <c r="L15" s="227">
        <f t="shared" si="1"/>
        <v>4.5990000000000001E-4</v>
      </c>
      <c r="M15" s="227">
        <f t="shared" si="2"/>
        <v>4.5990000000000001E-4</v>
      </c>
      <c r="N15" s="522">
        <f t="shared" si="3"/>
        <v>-3.2240000000000003E-5</v>
      </c>
    </row>
    <row r="16" spans="1:20" s="219" customFormat="1" x14ac:dyDescent="0.2">
      <c r="A16" s="617"/>
      <c r="B16" s="225" t="s">
        <v>144</v>
      </c>
      <c r="C16" s="226">
        <v>1.1999999999999999E-6</v>
      </c>
      <c r="D16" s="226"/>
      <c r="E16" s="226"/>
      <c r="F16" s="226"/>
      <c r="G16" s="226">
        <f t="shared" si="0"/>
        <v>5.9999999999999995E-8</v>
      </c>
      <c r="H16" s="226"/>
      <c r="I16" s="226"/>
      <c r="J16" s="226"/>
      <c r="K16" s="227">
        <f t="shared" si="5"/>
        <v>5.9999999999999995E-8</v>
      </c>
      <c r="L16" s="227">
        <f t="shared" si="1"/>
        <v>2.628E-7</v>
      </c>
      <c r="M16" s="227">
        <f t="shared" si="2"/>
        <v>2.628E-7</v>
      </c>
      <c r="N16" s="522">
        <f t="shared" si="3"/>
        <v>-5.9999999999999995E-8</v>
      </c>
    </row>
    <row r="17" spans="1:20" s="219" customFormat="1" x14ac:dyDescent="0.2">
      <c r="A17" s="617"/>
      <c r="B17" s="225" t="s">
        <v>145</v>
      </c>
      <c r="C17" s="226">
        <v>1.7999999999999999E-6</v>
      </c>
      <c r="D17" s="226">
        <v>1.48E-6</v>
      </c>
      <c r="E17" s="226">
        <v>1.48E-6</v>
      </c>
      <c r="F17" s="226">
        <v>1.48E-6</v>
      </c>
      <c r="G17" s="226">
        <f t="shared" si="0"/>
        <v>8.9999999999999999E-8</v>
      </c>
      <c r="H17" s="226">
        <f>D17*$B$7</f>
        <v>5.3912360272847408E-7</v>
      </c>
      <c r="I17" s="226">
        <f>E17*$B$6</f>
        <v>5.0320000000000001E-7</v>
      </c>
      <c r="J17" s="226">
        <f t="shared" si="4"/>
        <v>5.9277642088068289E-7</v>
      </c>
      <c r="K17" s="227">
        <f t="shared" si="5"/>
        <v>5.9277642088068289E-7</v>
      </c>
      <c r="L17" s="227">
        <f t="shared" si="1"/>
        <v>2.5963607234573912E-6</v>
      </c>
      <c r="M17" s="227">
        <f t="shared" si="2"/>
        <v>2.5963607234573912E-6</v>
      </c>
      <c r="N17" s="522">
        <f t="shared" si="3"/>
        <v>4.1320000000000002E-7</v>
      </c>
    </row>
    <row r="18" spans="1:20" s="219" customFormat="1" x14ac:dyDescent="0.2">
      <c r="A18" s="617"/>
      <c r="B18" s="225" t="s">
        <v>146</v>
      </c>
      <c r="C18" s="226">
        <v>1.1999999999999999E-6</v>
      </c>
      <c r="D18" s="226">
        <v>2.26E-6</v>
      </c>
      <c r="E18" s="226">
        <v>2.26E-6</v>
      </c>
      <c r="F18" s="226">
        <v>2.26E-6</v>
      </c>
      <c r="G18" s="226">
        <f t="shared" si="0"/>
        <v>5.9999999999999995E-8</v>
      </c>
      <c r="H18" s="226">
        <f>D18*$B$7</f>
        <v>8.2325631227456175E-7</v>
      </c>
      <c r="I18" s="226">
        <f>E18*$B$6</f>
        <v>7.6840000000000002E-7</v>
      </c>
      <c r="J18" s="226">
        <f t="shared" si="4"/>
        <v>9.05185615669151E-7</v>
      </c>
      <c r="K18" s="227">
        <f t="shared" si="5"/>
        <v>9.05185615669151E-7</v>
      </c>
      <c r="L18" s="227">
        <f t="shared" si="1"/>
        <v>3.9647129966308816E-6</v>
      </c>
      <c r="M18" s="227">
        <f t="shared" si="2"/>
        <v>3.9647129966308816E-6</v>
      </c>
      <c r="N18" s="522">
        <f t="shared" si="3"/>
        <v>7.0840000000000007E-7</v>
      </c>
    </row>
    <row r="19" spans="1:20" s="219" customFormat="1" x14ac:dyDescent="0.2">
      <c r="A19" s="617"/>
      <c r="B19" s="225" t="s">
        <v>147</v>
      </c>
      <c r="C19" s="226">
        <v>1.7999999999999999E-6</v>
      </c>
      <c r="D19" s="226">
        <v>1.48E-6</v>
      </c>
      <c r="E19" s="226">
        <v>1.48E-6</v>
      </c>
      <c r="F19" s="226">
        <v>1.48E-6</v>
      </c>
      <c r="G19" s="226">
        <f t="shared" si="0"/>
        <v>8.9999999999999999E-8</v>
      </c>
      <c r="H19" s="226">
        <f>D19*$B$7</f>
        <v>5.3912360272847408E-7</v>
      </c>
      <c r="I19" s="226">
        <f>E19*$B$6</f>
        <v>5.0320000000000001E-7</v>
      </c>
      <c r="J19" s="226">
        <f t="shared" si="4"/>
        <v>5.9277642088068289E-7</v>
      </c>
      <c r="K19" s="227">
        <f t="shared" si="5"/>
        <v>5.9277642088068289E-7</v>
      </c>
      <c r="L19" s="227">
        <f t="shared" si="1"/>
        <v>2.5963607234573912E-6</v>
      </c>
      <c r="M19" s="227">
        <f t="shared" si="2"/>
        <v>2.5963607234573912E-6</v>
      </c>
      <c r="N19" s="522">
        <f t="shared" si="3"/>
        <v>4.1320000000000002E-7</v>
      </c>
    </row>
    <row r="20" spans="1:20" s="219" customFormat="1" x14ac:dyDescent="0.2">
      <c r="A20" s="617"/>
      <c r="B20" s="225" t="s">
        <v>148</v>
      </c>
      <c r="C20" s="226">
        <v>1.7999999999999999E-6</v>
      </c>
      <c r="D20" s="226">
        <v>2.3800000000000001E-6</v>
      </c>
      <c r="E20" s="226">
        <v>2.3800000000000001E-6</v>
      </c>
      <c r="F20" s="226">
        <v>2.3800000000000001E-6</v>
      </c>
      <c r="G20" s="226">
        <f t="shared" si="0"/>
        <v>8.9999999999999999E-8</v>
      </c>
      <c r="H20" s="226">
        <f>D20*$B$7</f>
        <v>8.6696903682011375E-7</v>
      </c>
      <c r="I20" s="226">
        <f>E20*$B$6</f>
        <v>8.0920000000000013E-7</v>
      </c>
      <c r="J20" s="226">
        <f t="shared" si="4"/>
        <v>9.5324856871353074E-7</v>
      </c>
      <c r="K20" s="227">
        <f t="shared" si="5"/>
        <v>9.5324856871353074E-7</v>
      </c>
      <c r="L20" s="227">
        <f t="shared" si="1"/>
        <v>4.1752287309652644E-6</v>
      </c>
      <c r="M20" s="227">
        <f t="shared" si="2"/>
        <v>4.1752287309652644E-6</v>
      </c>
      <c r="N20" s="522">
        <f t="shared" si="3"/>
        <v>7.1920000000000014E-7</v>
      </c>
    </row>
    <row r="21" spans="1:20" s="219" customFormat="1" x14ac:dyDescent="0.2">
      <c r="A21" s="617"/>
      <c r="B21" s="225" t="s">
        <v>149</v>
      </c>
      <c r="C21" s="226">
        <v>1.1999999999999999E-3</v>
      </c>
      <c r="D21" s="226">
        <v>1.6700000000000001E-6</v>
      </c>
      <c r="E21" s="226">
        <v>1.6700000000000001E-6</v>
      </c>
      <c r="F21" s="226">
        <v>1.6700000000000001E-6</v>
      </c>
      <c r="G21" s="226">
        <f t="shared" si="0"/>
        <v>5.9999999999999995E-5</v>
      </c>
      <c r="H21" s="226">
        <f>D21*$B$7</f>
        <v>6.0833541659226471E-7</v>
      </c>
      <c r="I21" s="226">
        <f>E21*$B$6</f>
        <v>5.6780000000000009E-7</v>
      </c>
      <c r="J21" s="226">
        <f t="shared" si="4"/>
        <v>6.6887609653428421E-7</v>
      </c>
      <c r="K21" s="227">
        <f t="shared" si="5"/>
        <v>5.9999999999999995E-5</v>
      </c>
      <c r="L21" s="227">
        <f t="shared" si="1"/>
        <v>2.6279999999999999E-4</v>
      </c>
      <c r="M21" s="227">
        <f t="shared" si="2"/>
        <v>2.6279999999999999E-4</v>
      </c>
      <c r="N21" s="522">
        <f t="shared" si="3"/>
        <v>-5.9432199999999997E-5</v>
      </c>
    </row>
    <row r="22" spans="1:20" s="219" customFormat="1" x14ac:dyDescent="0.2">
      <c r="A22" s="617"/>
      <c r="B22" s="225" t="s">
        <v>150</v>
      </c>
      <c r="C22" s="226">
        <v>1.1999999999999999E-3</v>
      </c>
      <c r="D22" s="226"/>
      <c r="E22" s="226"/>
      <c r="F22" s="226"/>
      <c r="G22" s="226">
        <f t="shared" si="0"/>
        <v>5.9999999999999995E-5</v>
      </c>
      <c r="H22" s="226"/>
      <c r="I22" s="226"/>
      <c r="J22" s="226"/>
      <c r="K22" s="227">
        <f t="shared" si="5"/>
        <v>5.9999999999999995E-5</v>
      </c>
      <c r="L22" s="227">
        <f t="shared" si="1"/>
        <v>2.6279999999999999E-4</v>
      </c>
      <c r="M22" s="227">
        <f t="shared" si="2"/>
        <v>2.6279999999999999E-4</v>
      </c>
      <c r="N22" s="522">
        <f t="shared" si="3"/>
        <v>-5.9999999999999995E-5</v>
      </c>
    </row>
    <row r="23" spans="1:20" s="219" customFormat="1" x14ac:dyDescent="0.2">
      <c r="A23" s="617"/>
      <c r="B23" s="225" t="s">
        <v>242</v>
      </c>
      <c r="C23" s="226">
        <v>1.5999999999999999E-5</v>
      </c>
      <c r="D23" s="226"/>
      <c r="E23" s="226"/>
      <c r="F23" s="226"/>
      <c r="G23" s="226">
        <f t="shared" si="0"/>
        <v>7.9999999999999996E-7</v>
      </c>
      <c r="H23" s="226"/>
      <c r="I23" s="226"/>
      <c r="J23" s="226"/>
      <c r="K23" s="227">
        <f t="shared" si="5"/>
        <v>7.9999999999999996E-7</v>
      </c>
      <c r="L23" s="227">
        <f t="shared" si="1"/>
        <v>3.5039999999999998E-6</v>
      </c>
      <c r="M23" s="227">
        <f t="shared" si="2"/>
        <v>3.5039999999999998E-6</v>
      </c>
      <c r="N23" s="522">
        <f t="shared" si="3"/>
        <v>-7.9999999999999996E-7</v>
      </c>
    </row>
    <row r="24" spans="1:20" s="219" customFormat="1" x14ac:dyDescent="0.2">
      <c r="A24" s="617"/>
      <c r="B24" s="225" t="s">
        <v>151</v>
      </c>
      <c r="C24" s="226"/>
      <c r="D24" s="226">
        <v>6.3600000000000001E-5</v>
      </c>
      <c r="E24" s="226">
        <v>6.3600000000000001E-5</v>
      </c>
      <c r="F24" s="226">
        <v>6.3600000000000001E-5</v>
      </c>
      <c r="G24" s="226"/>
      <c r="H24" s="226">
        <f>D24*$B$7</f>
        <v>2.3167744009142534E-5</v>
      </c>
      <c r="I24" s="226">
        <f>E24*$B$6</f>
        <v>2.1624000000000002E-5</v>
      </c>
      <c r="J24" s="226">
        <f t="shared" si="4"/>
        <v>2.5473365113521239E-5</v>
      </c>
      <c r="K24" s="227">
        <f t="shared" si="5"/>
        <v>2.5473365113521239E-5</v>
      </c>
      <c r="L24" s="227">
        <f t="shared" si="1"/>
        <v>1.1157333919722303E-4</v>
      </c>
      <c r="M24" s="227">
        <f t="shared" si="2"/>
        <v>1.1157333919722303E-4</v>
      </c>
      <c r="N24" s="522">
        <f t="shared" si="3"/>
        <v>2.1624000000000002E-5</v>
      </c>
    </row>
    <row r="25" spans="1:20" s="219" customFormat="1" x14ac:dyDescent="0.2">
      <c r="A25" s="617"/>
      <c r="B25" s="225" t="s">
        <v>152</v>
      </c>
      <c r="C25" s="226">
        <v>3.0000000000000001E-6</v>
      </c>
      <c r="D25" s="226">
        <v>4.8400000000000002E-6</v>
      </c>
      <c r="E25" s="226">
        <v>4.8400000000000002E-6</v>
      </c>
      <c r="F25" s="226">
        <v>4.8400000000000002E-6</v>
      </c>
      <c r="G25" s="226">
        <f t="shared" ref="G25:G36" si="6">C25*$B$8</f>
        <v>1.5000000000000002E-7</v>
      </c>
      <c r="H25" s="226">
        <f>D25*$B$7</f>
        <v>1.7630798900039288E-6</v>
      </c>
      <c r="I25" s="226">
        <f>E25*$B$6</f>
        <v>1.6456000000000002E-6</v>
      </c>
      <c r="J25" s="226">
        <f t="shared" si="4"/>
        <v>1.9385391061233144E-6</v>
      </c>
      <c r="K25" s="227">
        <f t="shared" si="5"/>
        <v>1.9385391061233144E-6</v>
      </c>
      <c r="L25" s="227">
        <f t="shared" si="1"/>
        <v>8.4908012848201169E-6</v>
      </c>
      <c r="M25" s="227">
        <f t="shared" si="2"/>
        <v>8.4908012848201169E-6</v>
      </c>
      <c r="N25" s="522">
        <f t="shared" si="3"/>
        <v>1.4956000000000001E-6</v>
      </c>
    </row>
    <row r="26" spans="1:20" s="219" customFormat="1" x14ac:dyDescent="0.2">
      <c r="A26" s="617"/>
      <c r="B26" s="225" t="s">
        <v>153</v>
      </c>
      <c r="C26" s="226">
        <v>2.7999999999999999E-6</v>
      </c>
      <c r="D26" s="226">
        <v>4.4700000000000004E-6</v>
      </c>
      <c r="E26" s="226">
        <v>4.4700000000000004E-6</v>
      </c>
      <c r="F26" s="226">
        <v>4.4700000000000004E-6</v>
      </c>
      <c r="G26" s="226">
        <f t="shared" si="6"/>
        <v>1.4000000000000001E-7</v>
      </c>
      <c r="H26" s="226">
        <f>D26*$B$7</f>
        <v>1.6282989893218102E-6</v>
      </c>
      <c r="I26" s="226">
        <f>E26*$B$6</f>
        <v>1.5198000000000003E-6</v>
      </c>
      <c r="J26" s="226">
        <f t="shared" si="4"/>
        <v>1.7903450009031438E-6</v>
      </c>
      <c r="K26" s="227">
        <f t="shared" si="5"/>
        <v>1.7903450009031438E-6</v>
      </c>
      <c r="L26" s="227">
        <f t="shared" si="1"/>
        <v>7.8417111039557708E-6</v>
      </c>
      <c r="M26" s="227">
        <f t="shared" si="2"/>
        <v>7.8417111039557708E-6</v>
      </c>
      <c r="N26" s="522">
        <f t="shared" si="3"/>
        <v>1.3798000000000003E-6</v>
      </c>
    </row>
    <row r="27" spans="1:20" s="219" customFormat="1" x14ac:dyDescent="0.2">
      <c r="A27" s="617"/>
      <c r="B27" s="225" t="s">
        <v>154</v>
      </c>
      <c r="C27" s="226">
        <v>7.4999999999999997E-2</v>
      </c>
      <c r="D27" s="226">
        <v>3.3000000000000002E-2</v>
      </c>
      <c r="E27" s="226">
        <v>3.3000000000000002E-2</v>
      </c>
      <c r="F27" s="226">
        <v>3.3000000000000002E-2</v>
      </c>
      <c r="G27" s="226">
        <f t="shared" si="6"/>
        <v>3.7499999999999999E-3</v>
      </c>
      <c r="H27" s="226">
        <f>D27*$B$7</f>
        <v>1.2020999250026787E-2</v>
      </c>
      <c r="I27" s="226">
        <f>E27*$B$6</f>
        <v>1.1220000000000001E-2</v>
      </c>
      <c r="J27" s="226">
        <f t="shared" si="4"/>
        <v>1.3217312087204417E-2</v>
      </c>
      <c r="K27" s="227">
        <f t="shared" si="5"/>
        <v>1.3217312087204417E-2</v>
      </c>
      <c r="L27" s="227">
        <f t="shared" si="1"/>
        <v>5.7891826941955354E-2</v>
      </c>
      <c r="M27" s="227">
        <f t="shared" si="2"/>
        <v>5.7891826941955354E-2</v>
      </c>
      <c r="N27" s="522">
        <f t="shared" si="3"/>
        <v>7.4700000000000009E-3</v>
      </c>
      <c r="T27" s="228"/>
    </row>
    <row r="28" spans="1:20" s="219" customFormat="1" x14ac:dyDescent="0.2">
      <c r="A28" s="617"/>
      <c r="B28" s="225" t="s">
        <v>155</v>
      </c>
      <c r="C28" s="226">
        <v>1.8</v>
      </c>
      <c r="D28" s="226"/>
      <c r="E28" s="226"/>
      <c r="F28" s="226"/>
      <c r="G28" s="226">
        <f t="shared" si="6"/>
        <v>9.0000000000000011E-2</v>
      </c>
      <c r="H28" s="226"/>
      <c r="I28" s="226"/>
      <c r="J28" s="226"/>
      <c r="K28" s="227">
        <f t="shared" si="5"/>
        <v>9.0000000000000011E-2</v>
      </c>
      <c r="L28" s="227">
        <f t="shared" si="1"/>
        <v>0.39420000000000005</v>
      </c>
      <c r="M28" s="229">
        <f t="shared" si="2"/>
        <v>0.39420000000000005</v>
      </c>
      <c r="N28" s="522">
        <f t="shared" si="3"/>
        <v>-9.0000000000000011E-2</v>
      </c>
    </row>
    <row r="29" spans="1:20" s="219" customFormat="1" x14ac:dyDescent="0.2">
      <c r="A29" s="617"/>
      <c r="B29" s="225" t="s">
        <v>156</v>
      </c>
      <c r="C29" s="226">
        <v>1.7999999999999999E-6</v>
      </c>
      <c r="D29" s="226">
        <v>2.1399999999999998E-6</v>
      </c>
      <c r="E29" s="226">
        <v>2.1399999999999998E-6</v>
      </c>
      <c r="F29" s="226">
        <v>2.1399999999999998E-6</v>
      </c>
      <c r="G29" s="226">
        <f t="shared" si="6"/>
        <v>8.9999999999999999E-8</v>
      </c>
      <c r="H29" s="226">
        <f t="shared" ref="H29:H48" si="7">D29*$B$7</f>
        <v>7.7954358772900975E-7</v>
      </c>
      <c r="I29" s="226">
        <f t="shared" ref="I29:I48" si="8">E29*$B$6</f>
        <v>7.2760000000000003E-7</v>
      </c>
      <c r="J29" s="226">
        <f t="shared" si="4"/>
        <v>8.5712266262477125E-7</v>
      </c>
      <c r="K29" s="227">
        <f t="shared" si="5"/>
        <v>8.5712266262477125E-7</v>
      </c>
      <c r="L29" s="227">
        <f t="shared" si="1"/>
        <v>3.7541972622964984E-6</v>
      </c>
      <c r="M29" s="229">
        <f t="shared" si="2"/>
        <v>3.7541972622964984E-6</v>
      </c>
      <c r="N29" s="522">
        <f t="shared" si="3"/>
        <v>6.3760000000000004E-7</v>
      </c>
    </row>
    <row r="30" spans="1:20" s="219" customFormat="1" x14ac:dyDescent="0.2">
      <c r="A30" s="617"/>
      <c r="B30" s="225" t="s">
        <v>244</v>
      </c>
      <c r="C30" s="226">
        <v>2.4000000000000001E-5</v>
      </c>
      <c r="D30" s="226"/>
      <c r="E30" s="226"/>
      <c r="F30" s="226"/>
      <c r="G30" s="226">
        <f t="shared" si="6"/>
        <v>1.2000000000000002E-6</v>
      </c>
      <c r="H30" s="226"/>
      <c r="I30" s="226"/>
      <c r="J30" s="226"/>
      <c r="K30" s="227">
        <f t="shared" si="5"/>
        <v>1.2000000000000002E-6</v>
      </c>
      <c r="L30" s="227">
        <f t="shared" si="1"/>
        <v>5.256000000000001E-6</v>
      </c>
      <c r="M30" s="229">
        <f t="shared" si="2"/>
        <v>5.256000000000001E-6</v>
      </c>
      <c r="N30" s="522">
        <f t="shared" si="3"/>
        <v>-1.2000000000000002E-6</v>
      </c>
    </row>
    <row r="31" spans="1:20" s="219" customFormat="1" x14ac:dyDescent="0.2">
      <c r="A31" s="617"/>
      <c r="B31" s="225" t="s">
        <v>245</v>
      </c>
      <c r="C31" s="226">
        <v>1.7999999999999999E-6</v>
      </c>
      <c r="D31" s="226"/>
      <c r="E31" s="226"/>
      <c r="F31" s="226"/>
      <c r="G31" s="226">
        <f t="shared" si="6"/>
        <v>8.9999999999999999E-8</v>
      </c>
      <c r="H31" s="226"/>
      <c r="I31" s="226"/>
      <c r="J31" s="226"/>
      <c r="K31" s="227">
        <f t="shared" si="5"/>
        <v>8.9999999999999999E-8</v>
      </c>
      <c r="L31" s="227">
        <f t="shared" si="1"/>
        <v>3.9419999999999997E-7</v>
      </c>
      <c r="M31" s="229">
        <f t="shared" si="2"/>
        <v>3.9419999999999997E-7</v>
      </c>
      <c r="N31" s="522">
        <f t="shared" si="3"/>
        <v>-8.9999999999999999E-8</v>
      </c>
    </row>
    <row r="32" spans="1:20" s="219" customFormat="1" x14ac:dyDescent="0.2">
      <c r="A32" s="617"/>
      <c r="B32" s="225" t="s">
        <v>157</v>
      </c>
      <c r="C32" s="226">
        <v>6.0999999999999997E-4</v>
      </c>
      <c r="D32" s="226">
        <v>1.1299999999999999E-3</v>
      </c>
      <c r="E32" s="226">
        <v>1.1299999999999999E-3</v>
      </c>
      <c r="F32" s="226">
        <v>1.1299999999999999E-3</v>
      </c>
      <c r="G32" s="226">
        <f t="shared" si="6"/>
        <v>3.0499999999999999E-5</v>
      </c>
      <c r="H32" s="226">
        <f t="shared" si="7"/>
        <v>4.1162815613728082E-4</v>
      </c>
      <c r="I32" s="226">
        <f t="shared" si="8"/>
        <v>3.8420000000000001E-4</v>
      </c>
      <c r="J32" s="226">
        <f t="shared" si="4"/>
        <v>4.5259280783457547E-4</v>
      </c>
      <c r="K32" s="227">
        <f t="shared" si="5"/>
        <v>4.5259280783457547E-4</v>
      </c>
      <c r="L32" s="227">
        <f t="shared" si="1"/>
        <v>1.9823564983154403E-3</v>
      </c>
      <c r="M32" s="229">
        <f t="shared" si="2"/>
        <v>1.9823564983154403E-3</v>
      </c>
      <c r="N32" s="522">
        <f t="shared" si="3"/>
        <v>3.5370000000000003E-4</v>
      </c>
    </row>
    <row r="33" spans="1:20" s="219" customFormat="1" x14ac:dyDescent="0.2">
      <c r="A33" s="617"/>
      <c r="B33" s="225" t="s">
        <v>158</v>
      </c>
      <c r="C33" s="226">
        <v>1.7E-5</v>
      </c>
      <c r="D33" s="226">
        <v>1.0499999999999999E-5</v>
      </c>
      <c r="E33" s="226">
        <v>1.0499999999999999E-5</v>
      </c>
      <c r="F33" s="226">
        <v>1.0499999999999999E-5</v>
      </c>
      <c r="G33" s="226">
        <f t="shared" si="6"/>
        <v>8.5000000000000001E-7</v>
      </c>
      <c r="H33" s="226">
        <f t="shared" si="7"/>
        <v>3.8248633977357952E-6</v>
      </c>
      <c r="I33" s="226">
        <f t="shared" si="8"/>
        <v>3.5700000000000001E-6</v>
      </c>
      <c r="J33" s="226">
        <f t="shared" si="4"/>
        <v>4.2055083913832234E-6</v>
      </c>
      <c r="K33" s="227">
        <f t="shared" si="5"/>
        <v>4.2055083913832234E-6</v>
      </c>
      <c r="L33" s="227">
        <f t="shared" si="1"/>
        <v>1.8420126754258517E-5</v>
      </c>
      <c r="M33" s="229">
        <f t="shared" si="2"/>
        <v>1.8420126754258517E-5</v>
      </c>
      <c r="N33" s="522">
        <f t="shared" si="3"/>
        <v>2.7200000000000002E-6</v>
      </c>
    </row>
    <row r="34" spans="1:20" s="219" customFormat="1" x14ac:dyDescent="0.2">
      <c r="A34" s="617"/>
      <c r="B34" s="225" t="s">
        <v>284</v>
      </c>
      <c r="C34" s="226"/>
      <c r="D34" s="226"/>
      <c r="E34" s="226">
        <v>9.4599999999999997E-3</v>
      </c>
      <c r="F34" s="226"/>
      <c r="G34" s="226"/>
      <c r="H34" s="226"/>
      <c r="I34" s="226">
        <f>E34*$B$6</f>
        <v>3.2163999999999999E-3</v>
      </c>
      <c r="J34" s="226"/>
      <c r="K34" s="227">
        <f t="shared" si="5"/>
        <v>3.2163999999999999E-3</v>
      </c>
      <c r="L34" s="227">
        <f t="shared" si="1"/>
        <v>1.4087831999999998E-2</v>
      </c>
      <c r="M34" s="229">
        <f t="shared" si="2"/>
        <v>1.4087831999999998E-2</v>
      </c>
      <c r="N34" s="522">
        <f t="shared" si="3"/>
        <v>3.2163999999999999E-3</v>
      </c>
    </row>
    <row r="35" spans="1:20" s="219" customFormat="1" x14ac:dyDescent="0.2">
      <c r="A35" s="617"/>
      <c r="B35" s="225" t="s">
        <v>159</v>
      </c>
      <c r="C35" s="226">
        <v>5.0000000000000004E-6</v>
      </c>
      <c r="D35" s="226">
        <v>4.25E-6</v>
      </c>
      <c r="E35" s="226">
        <v>4.25E-6</v>
      </c>
      <c r="F35" s="226">
        <v>4.25E-6</v>
      </c>
      <c r="G35" s="226">
        <f t="shared" si="6"/>
        <v>2.5000000000000004E-7</v>
      </c>
      <c r="H35" s="226">
        <f t="shared" si="7"/>
        <v>1.5481589943216315E-6</v>
      </c>
      <c r="I35" s="226">
        <f t="shared" si="8"/>
        <v>1.4450000000000001E-6</v>
      </c>
      <c r="J35" s="226">
        <f t="shared" si="4"/>
        <v>1.7022295869884476E-6</v>
      </c>
      <c r="K35" s="227">
        <f t="shared" si="5"/>
        <v>1.7022295869884476E-6</v>
      </c>
      <c r="L35" s="227">
        <f t="shared" si="1"/>
        <v>7.4557655910094004E-6</v>
      </c>
      <c r="M35" s="229">
        <f t="shared" si="2"/>
        <v>7.4557655910094004E-6</v>
      </c>
      <c r="N35" s="522">
        <f t="shared" si="3"/>
        <v>1.195E-6</v>
      </c>
    </row>
    <row r="36" spans="1:20" s="219" customFormat="1" x14ac:dyDescent="0.2">
      <c r="A36" s="617"/>
      <c r="B36" s="225" t="s">
        <v>160</v>
      </c>
      <c r="C36" s="226">
        <v>3.3999999999999998E-3</v>
      </c>
      <c r="D36" s="226">
        <v>6.1999999999999998E-3</v>
      </c>
      <c r="E36" s="226">
        <v>6.1999999999999998E-3</v>
      </c>
      <c r="F36" s="226">
        <v>6.1999999999999998E-3</v>
      </c>
      <c r="G36" s="226">
        <f t="shared" si="6"/>
        <v>1.7000000000000001E-4</v>
      </c>
      <c r="H36" s="226">
        <f t="shared" si="7"/>
        <v>2.2584907681868507E-3</v>
      </c>
      <c r="I36" s="226">
        <f t="shared" si="8"/>
        <v>2.1080000000000001E-3</v>
      </c>
      <c r="J36" s="226">
        <f t="shared" si="4"/>
        <v>2.4832525739596177E-3</v>
      </c>
      <c r="K36" s="227">
        <f t="shared" si="5"/>
        <v>2.4832525739596177E-3</v>
      </c>
      <c r="L36" s="227">
        <f t="shared" si="1"/>
        <v>1.0876646273943125E-2</v>
      </c>
      <c r="M36" s="229">
        <f t="shared" si="2"/>
        <v>1.0876646273943125E-2</v>
      </c>
      <c r="N36" s="522">
        <f t="shared" si="3"/>
        <v>1.9380000000000001E-3</v>
      </c>
    </row>
    <row r="37" spans="1:20" s="219" customFormat="1" x14ac:dyDescent="0.2">
      <c r="A37" s="617"/>
      <c r="B37" s="225" t="s">
        <v>282</v>
      </c>
      <c r="C37" s="226"/>
      <c r="D37" s="226">
        <v>2.3599999999999999E-4</v>
      </c>
      <c r="E37" s="226">
        <v>2.3599999999999999E-4</v>
      </c>
      <c r="F37" s="226">
        <v>2.3599999999999999E-4</v>
      </c>
      <c r="G37" s="226"/>
      <c r="H37" s="226">
        <f t="shared" si="7"/>
        <v>8.5968358272918834E-5</v>
      </c>
      <c r="I37" s="226">
        <f t="shared" si="8"/>
        <v>8.0240000000000004E-5</v>
      </c>
      <c r="J37" s="226">
        <f t="shared" si="4"/>
        <v>9.4523807653946736E-5</v>
      </c>
      <c r="K37" s="227">
        <f t="shared" si="5"/>
        <v>9.4523807653946736E-5</v>
      </c>
      <c r="L37" s="227">
        <f t="shared" si="1"/>
        <v>4.1401427752428674E-4</v>
      </c>
      <c r="M37" s="229">
        <f t="shared" si="2"/>
        <v>4.1401427752428674E-4</v>
      </c>
      <c r="N37" s="522">
        <f t="shared" si="3"/>
        <v>8.0240000000000004E-5</v>
      </c>
    </row>
    <row r="38" spans="1:20" s="219" customFormat="1" x14ac:dyDescent="0.2">
      <c r="A38" s="617"/>
      <c r="B38" s="225" t="s">
        <v>161</v>
      </c>
      <c r="C38" s="226"/>
      <c r="D38" s="226">
        <v>1.0900000000000001E-4</v>
      </c>
      <c r="E38" s="226">
        <v>1.0900000000000001E-4</v>
      </c>
      <c r="F38" s="226">
        <v>1.0900000000000001E-4</v>
      </c>
      <c r="G38" s="226"/>
      <c r="H38" s="226">
        <f t="shared" si="7"/>
        <v>3.9705724795543021E-5</v>
      </c>
      <c r="I38" s="226">
        <f t="shared" si="8"/>
        <v>3.7060000000000008E-5</v>
      </c>
      <c r="J38" s="226">
        <f t="shared" si="4"/>
        <v>4.3657182348644897E-5</v>
      </c>
      <c r="K38" s="227">
        <f t="shared" si="5"/>
        <v>4.3657182348644897E-5</v>
      </c>
      <c r="L38" s="227">
        <f t="shared" si="1"/>
        <v>1.9121845868706467E-4</v>
      </c>
      <c r="M38" s="229">
        <f t="shared" si="2"/>
        <v>1.9121845868706467E-4</v>
      </c>
      <c r="N38" s="522">
        <f t="shared" si="3"/>
        <v>3.7060000000000008E-5</v>
      </c>
    </row>
    <row r="39" spans="1:20" s="219" customFormat="1" x14ac:dyDescent="0.2">
      <c r="A39" s="617"/>
      <c r="B39" s="225" t="s">
        <v>162</v>
      </c>
      <c r="C39" s="226">
        <v>5.2500000000000003E-3</v>
      </c>
      <c r="D39" s="226"/>
      <c r="E39" s="226">
        <v>5.2500000000000003E-3</v>
      </c>
      <c r="F39" s="226"/>
      <c r="G39" s="226">
        <f t="shared" ref="G39:G48" si="9">C39*$B$8</f>
        <v>2.6250000000000004E-4</v>
      </c>
      <c r="H39" s="226">
        <f t="shared" si="7"/>
        <v>0</v>
      </c>
      <c r="I39" s="226">
        <f t="shared" si="8"/>
        <v>1.7850000000000003E-3</v>
      </c>
      <c r="J39" s="226">
        <f t="shared" si="4"/>
        <v>0</v>
      </c>
      <c r="K39" s="227">
        <f t="shared" si="5"/>
        <v>1.7850000000000003E-3</v>
      </c>
      <c r="L39" s="227">
        <f t="shared" si="1"/>
        <v>7.818300000000002E-3</v>
      </c>
      <c r="M39" s="229">
        <f t="shared" si="2"/>
        <v>7.818300000000002E-3</v>
      </c>
      <c r="N39" s="522">
        <f t="shared" si="3"/>
        <v>1.5225000000000004E-3</v>
      </c>
      <c r="T39" s="228"/>
    </row>
    <row r="40" spans="1:20" s="219" customFormat="1" x14ac:dyDescent="0.2">
      <c r="A40" s="617"/>
      <c r="B40" s="225" t="s">
        <v>163</v>
      </c>
      <c r="C40" s="226">
        <v>2.0000000000000001E-4</v>
      </c>
      <c r="D40" s="226">
        <f>(0.000004)*$H$7/1000</f>
        <v>5.6002E-10</v>
      </c>
      <c r="E40" s="226">
        <v>1.32E-3</v>
      </c>
      <c r="F40" s="226">
        <f>(0.000004)*$H$9/1000</f>
        <v>5.0933199999999995E-10</v>
      </c>
      <c r="G40" s="226">
        <f t="shared" si="9"/>
        <v>1.0000000000000001E-5</v>
      </c>
      <c r="H40" s="226">
        <f t="shared" si="7"/>
        <v>2.0400000000000002E-10</v>
      </c>
      <c r="I40" s="226">
        <f t="shared" si="8"/>
        <v>4.4880000000000001E-4</v>
      </c>
      <c r="J40" s="226">
        <f t="shared" si="4"/>
        <v>2.0399999999999997E-10</v>
      </c>
      <c r="K40" s="227">
        <f t="shared" si="5"/>
        <v>4.4880000000000001E-4</v>
      </c>
      <c r="L40" s="227">
        <f t="shared" si="1"/>
        <v>1.9657440000000002E-3</v>
      </c>
      <c r="M40" s="229">
        <f t="shared" si="2"/>
        <v>1.9657440000000002E-3</v>
      </c>
      <c r="N40" s="522">
        <f t="shared" si="3"/>
        <v>4.3879999999999999E-4</v>
      </c>
      <c r="T40" s="228"/>
    </row>
    <row r="41" spans="1:20" s="219" customFormat="1" x14ac:dyDescent="0.2">
      <c r="A41" s="617"/>
      <c r="B41" s="225" t="s">
        <v>164</v>
      </c>
      <c r="C41" s="226">
        <v>1.2E-5</v>
      </c>
      <c r="D41" s="226">
        <f>(0.000003)*$H$7/1000</f>
        <v>4.2001499999999997E-10</v>
      </c>
      <c r="E41" s="226">
        <v>2.7800000000000001E-5</v>
      </c>
      <c r="F41" s="226">
        <f>(0.000003)*$H$9/1000</f>
        <v>3.8199900000000002E-10</v>
      </c>
      <c r="G41" s="226">
        <f t="shared" si="9"/>
        <v>6.0000000000000008E-7</v>
      </c>
      <c r="H41" s="226">
        <f t="shared" si="7"/>
        <v>1.5300000000000001E-10</v>
      </c>
      <c r="I41" s="226">
        <f t="shared" si="8"/>
        <v>9.452000000000002E-6</v>
      </c>
      <c r="J41" s="226">
        <f t="shared" si="4"/>
        <v>1.5300000000000001E-10</v>
      </c>
      <c r="K41" s="227">
        <f t="shared" si="5"/>
        <v>9.452000000000002E-6</v>
      </c>
      <c r="L41" s="227">
        <f t="shared" si="1"/>
        <v>4.1399760000000007E-5</v>
      </c>
      <c r="M41" s="229">
        <f t="shared" si="2"/>
        <v>4.1399760000000007E-5</v>
      </c>
      <c r="N41" s="522">
        <f t="shared" si="3"/>
        <v>8.8520000000000027E-6</v>
      </c>
      <c r="T41" s="228"/>
    </row>
    <row r="42" spans="1:20" s="219" customFormat="1" x14ac:dyDescent="0.2">
      <c r="A42" s="617"/>
      <c r="B42" s="225" t="s">
        <v>165</v>
      </c>
      <c r="C42" s="226">
        <v>1.1000000000000001E-3</v>
      </c>
      <c r="D42" s="226">
        <f>(0.000003)*$H$7/1000</f>
        <v>4.2001499999999997E-10</v>
      </c>
      <c r="E42" s="226">
        <v>3.9800000000000002E-4</v>
      </c>
      <c r="F42" s="226">
        <f>(0.000003)*$H$9/1000</f>
        <v>3.8199900000000002E-10</v>
      </c>
      <c r="G42" s="226">
        <f t="shared" si="9"/>
        <v>5.5000000000000009E-5</v>
      </c>
      <c r="H42" s="226">
        <f t="shared" si="7"/>
        <v>1.5300000000000001E-10</v>
      </c>
      <c r="I42" s="226">
        <f t="shared" si="8"/>
        <v>1.3532000000000003E-4</v>
      </c>
      <c r="J42" s="226">
        <f t="shared" si="4"/>
        <v>1.5300000000000001E-10</v>
      </c>
      <c r="K42" s="227">
        <f t="shared" si="5"/>
        <v>1.3532000000000003E-4</v>
      </c>
      <c r="L42" s="227">
        <f t="shared" si="1"/>
        <v>5.9270160000000015E-4</v>
      </c>
      <c r="M42" s="229">
        <f t="shared" si="2"/>
        <v>5.9270160000000015E-4</v>
      </c>
      <c r="N42" s="522">
        <f t="shared" si="3"/>
        <v>8.0320000000000017E-5</v>
      </c>
      <c r="T42" s="228"/>
    </row>
    <row r="43" spans="1:20" s="219" customFormat="1" x14ac:dyDescent="0.2">
      <c r="A43" s="617"/>
      <c r="B43" s="225" t="s">
        <v>166</v>
      </c>
      <c r="C43" s="226">
        <v>1.4E-3</v>
      </c>
      <c r="D43" s="226">
        <f>(0.000003)*$H$7/1000</f>
        <v>4.2001499999999997E-10</v>
      </c>
      <c r="E43" s="226">
        <f>0.000845+0.000248</f>
        <v>1.093E-3</v>
      </c>
      <c r="F43" s="226">
        <f>(0.000003)*$H$9/1000</f>
        <v>3.8199900000000002E-10</v>
      </c>
      <c r="G43" s="226">
        <f t="shared" si="9"/>
        <v>7.0000000000000007E-5</v>
      </c>
      <c r="H43" s="226">
        <f t="shared" si="7"/>
        <v>1.5300000000000001E-10</v>
      </c>
      <c r="I43" s="226">
        <f t="shared" si="8"/>
        <v>3.7162000000000002E-4</v>
      </c>
      <c r="J43" s="226">
        <f t="shared" si="4"/>
        <v>1.5300000000000001E-10</v>
      </c>
      <c r="K43" s="227">
        <f t="shared" si="5"/>
        <v>3.7162000000000002E-4</v>
      </c>
      <c r="L43" s="227">
        <f t="shared" si="1"/>
        <v>1.6276956E-3</v>
      </c>
      <c r="M43" s="229">
        <f t="shared" si="2"/>
        <v>1.6276956E-3</v>
      </c>
      <c r="N43" s="522">
        <f t="shared" si="3"/>
        <v>3.0162E-4</v>
      </c>
      <c r="T43" s="228"/>
    </row>
    <row r="44" spans="1:20" s="219" customFormat="1" x14ac:dyDescent="0.2">
      <c r="A44" s="617"/>
      <c r="B44" s="225" t="s">
        <v>167</v>
      </c>
      <c r="C44" s="226">
        <v>8.3999999999999995E-5</v>
      </c>
      <c r="D44" s="226"/>
      <c r="E44" s="226">
        <v>6.0200000000000002E-3</v>
      </c>
      <c r="F44" s="226"/>
      <c r="G44" s="226">
        <f t="shared" si="9"/>
        <v>4.1999999999999996E-6</v>
      </c>
      <c r="H44" s="226">
        <f t="shared" si="7"/>
        <v>0</v>
      </c>
      <c r="I44" s="226">
        <f t="shared" si="8"/>
        <v>2.0468000000000001E-3</v>
      </c>
      <c r="J44" s="226">
        <f t="shared" si="4"/>
        <v>0</v>
      </c>
      <c r="K44" s="227">
        <f t="shared" si="5"/>
        <v>2.0468000000000001E-3</v>
      </c>
      <c r="L44" s="227">
        <f t="shared" si="1"/>
        <v>8.9649840000000005E-3</v>
      </c>
      <c r="M44" s="229">
        <f t="shared" si="2"/>
        <v>8.9649840000000005E-3</v>
      </c>
      <c r="N44" s="522">
        <f t="shared" si="3"/>
        <v>2.0425999999999999E-3</v>
      </c>
      <c r="T44" s="228"/>
    </row>
    <row r="45" spans="1:20" s="219" customFormat="1" x14ac:dyDescent="0.2">
      <c r="A45" s="617"/>
      <c r="B45" s="225" t="s">
        <v>168</v>
      </c>
      <c r="C45" s="226">
        <v>3.8000000000000002E-4</v>
      </c>
      <c r="D45" s="226">
        <f>(0.000006)*$H$7/1000</f>
        <v>8.4002999999999994E-10</v>
      </c>
      <c r="E45" s="226">
        <v>3.0000000000000001E-3</v>
      </c>
      <c r="F45" s="226">
        <f>(0.000006)*$H$9/1000</f>
        <v>7.6399800000000003E-10</v>
      </c>
      <c r="G45" s="226">
        <f t="shared" si="9"/>
        <v>1.9000000000000001E-5</v>
      </c>
      <c r="H45" s="226">
        <f t="shared" si="7"/>
        <v>3.0600000000000003E-10</v>
      </c>
      <c r="I45" s="226">
        <f t="shared" si="8"/>
        <v>1.0200000000000001E-3</v>
      </c>
      <c r="J45" s="226">
        <f t="shared" si="4"/>
        <v>3.0600000000000003E-10</v>
      </c>
      <c r="K45" s="227">
        <f t="shared" si="5"/>
        <v>1.0200000000000001E-3</v>
      </c>
      <c r="L45" s="227">
        <f t="shared" si="1"/>
        <v>4.4676000000000004E-3</v>
      </c>
      <c r="M45" s="229">
        <f t="shared" si="2"/>
        <v>4.4676000000000004E-3</v>
      </c>
      <c r="N45" s="522">
        <f t="shared" si="3"/>
        <v>1.0010000000000002E-3</v>
      </c>
      <c r="O45" s="216"/>
      <c r="P45" s="216"/>
      <c r="Q45" s="216"/>
      <c r="T45" s="228"/>
    </row>
    <row r="46" spans="1:20" s="219" customFormat="1" x14ac:dyDescent="0.2">
      <c r="A46" s="617"/>
      <c r="B46" s="225" t="s">
        <v>169</v>
      </c>
      <c r="C46" s="230">
        <v>2.5999999999999998E-4</v>
      </c>
      <c r="D46" s="226">
        <f>(0.000003)*$H$7/1000</f>
        <v>4.2001499999999997E-10</v>
      </c>
      <c r="E46" s="230">
        <v>1.13E-4</v>
      </c>
      <c r="F46" s="226">
        <f>(0.000003)*$H$6/1000</f>
        <v>4.5E-10</v>
      </c>
      <c r="G46" s="226">
        <f t="shared" si="9"/>
        <v>1.2999999999999999E-5</v>
      </c>
      <c r="H46" s="226">
        <f t="shared" si="7"/>
        <v>1.5300000000000001E-10</v>
      </c>
      <c r="I46" s="226">
        <f t="shared" si="8"/>
        <v>3.8420000000000001E-5</v>
      </c>
      <c r="J46" s="226">
        <f t="shared" si="4"/>
        <v>1.8023607391642385E-10</v>
      </c>
      <c r="K46" s="227">
        <f t="shared" si="5"/>
        <v>3.8420000000000001E-5</v>
      </c>
      <c r="L46" s="229">
        <f t="shared" si="1"/>
        <v>1.6827960000000001E-4</v>
      </c>
      <c r="M46" s="229">
        <f t="shared" si="2"/>
        <v>1.6827960000000001E-4</v>
      </c>
      <c r="N46" s="522">
        <f t="shared" si="3"/>
        <v>2.5420000000000004E-5</v>
      </c>
      <c r="O46" s="231"/>
      <c r="P46" s="232"/>
      <c r="Q46" s="231"/>
      <c r="R46" s="216"/>
      <c r="S46" s="216"/>
      <c r="T46" s="232"/>
    </row>
    <row r="47" spans="1:20" s="219" customFormat="1" x14ac:dyDescent="0.2">
      <c r="A47" s="617"/>
      <c r="B47" s="225" t="s">
        <v>170</v>
      </c>
      <c r="C47" s="226">
        <v>2.0999999999999999E-3</v>
      </c>
      <c r="D47" s="226">
        <f>(0.000003)*$H$7/1000</f>
        <v>4.2001499999999997E-10</v>
      </c>
      <c r="E47" s="226">
        <v>8.4500000000000006E-2</v>
      </c>
      <c r="F47" s="226">
        <f>(0.000003)*$H$9/1000</f>
        <v>3.8199900000000002E-10</v>
      </c>
      <c r="G47" s="226">
        <f t="shared" si="9"/>
        <v>1.05E-4</v>
      </c>
      <c r="H47" s="226">
        <f>D47*$B$7</f>
        <v>1.5300000000000001E-10</v>
      </c>
      <c r="I47" s="226">
        <f t="shared" si="8"/>
        <v>2.8730000000000006E-2</v>
      </c>
      <c r="J47" s="226">
        <f t="shared" si="4"/>
        <v>1.5300000000000001E-10</v>
      </c>
      <c r="K47" s="227">
        <f t="shared" si="5"/>
        <v>2.8730000000000006E-2</v>
      </c>
      <c r="L47" s="227">
        <f t="shared" si="1"/>
        <v>0.12583740000000004</v>
      </c>
      <c r="M47" s="229">
        <f t="shared" si="2"/>
        <v>0.12583740000000004</v>
      </c>
      <c r="N47" s="522">
        <f t="shared" si="3"/>
        <v>2.8625000000000005E-2</v>
      </c>
      <c r="T47" s="228"/>
    </row>
    <row r="48" spans="1:20" s="219" customFormat="1" x14ac:dyDescent="0.2">
      <c r="A48" s="617"/>
      <c r="B48" s="225" t="s">
        <v>171</v>
      </c>
      <c r="C48" s="226">
        <v>2.4000000000000001E-5</v>
      </c>
      <c r="D48" s="226">
        <f>(0.000015)*$H$7/1000</f>
        <v>2.1000750000000001E-9</v>
      </c>
      <c r="E48" s="226">
        <v>6.8300000000000001E-4</v>
      </c>
      <c r="F48" s="226">
        <f>(0.000015)*$H$9/1000</f>
        <v>1.9099949999999999E-9</v>
      </c>
      <c r="G48" s="226">
        <f t="shared" si="9"/>
        <v>1.2000000000000002E-6</v>
      </c>
      <c r="H48" s="226">
        <f t="shared" si="7"/>
        <v>7.6500000000000015E-10</v>
      </c>
      <c r="I48" s="226">
        <f t="shared" si="8"/>
        <v>2.3222000000000002E-4</v>
      </c>
      <c r="J48" s="226">
        <f t="shared" si="4"/>
        <v>7.6499999999999994E-10</v>
      </c>
      <c r="K48" s="227">
        <f>MAX(G48:J48)</f>
        <v>2.3222000000000002E-4</v>
      </c>
      <c r="L48" s="227">
        <f t="shared" si="1"/>
        <v>1.0171236000000002E-3</v>
      </c>
      <c r="M48" s="229">
        <f t="shared" si="2"/>
        <v>1.0171236000000002E-3</v>
      </c>
      <c r="N48" s="522">
        <f t="shared" si="3"/>
        <v>2.3102000000000002E-4</v>
      </c>
      <c r="T48" s="228"/>
    </row>
    <row r="49" spans="1:20" s="219" customFormat="1" x14ac:dyDescent="0.2">
      <c r="A49" s="617"/>
      <c r="B49" s="233" t="s">
        <v>172</v>
      </c>
      <c r="C49" s="226"/>
      <c r="D49" s="226"/>
      <c r="E49" s="226"/>
      <c r="F49" s="226"/>
      <c r="G49" s="310">
        <f>SUM(G11:G48)</f>
        <v>9.4720349999999995E-2</v>
      </c>
      <c r="H49" s="310">
        <f>SUM(H11:H48)</f>
        <v>1.4940520614336632E-2</v>
      </c>
      <c r="I49" s="310">
        <f>SUM(I11:I48)</f>
        <v>5.1979014019999999E-2</v>
      </c>
      <c r="J49" s="310">
        <f>SUM(J11:J48)</f>
        <v>1.6427379911157138E-2</v>
      </c>
      <c r="K49" s="234">
        <f>MAX(G49:J49)</f>
        <v>9.4720349999999995E-2</v>
      </c>
      <c r="L49" s="234">
        <f>K49*8760/2000</f>
        <v>0.41487513300000001</v>
      </c>
      <c r="M49" s="235">
        <f t="shared" ref="M49" si="10">K49*8760/2000</f>
        <v>0.41487513300000001</v>
      </c>
      <c r="N49" s="522">
        <f>SUM(N11:N48)</f>
        <v>-4.274133598000001E-2</v>
      </c>
      <c r="T49" s="228"/>
    </row>
    <row r="50" spans="1:20" s="219" customFormat="1" x14ac:dyDescent="0.2">
      <c r="A50" s="617"/>
      <c r="B50" s="233" t="s">
        <v>173</v>
      </c>
      <c r="C50" s="226">
        <v>5.0000000000000001E-4</v>
      </c>
      <c r="D50" s="226">
        <f>(0.000009)*$H$7/1000</f>
        <v>1.2600450000000001E-9</v>
      </c>
      <c r="E50" s="226">
        <v>1.5100000000000001E-3</v>
      </c>
      <c r="F50" s="226">
        <f>(0.000009)*$H$9/1000</f>
        <v>1.145997E-9</v>
      </c>
      <c r="G50" s="226">
        <f t="shared" ref="G50:G59" si="11">C50*$B$8</f>
        <v>2.5000000000000001E-5</v>
      </c>
      <c r="H50" s="226">
        <f t="shared" ref="H50:H59" si="12">D50*$B$7</f>
        <v>4.5900000000000007E-10</v>
      </c>
      <c r="I50" s="226">
        <f t="shared" ref="I50:I59" si="13">E50*$B$6</f>
        <v>5.1340000000000001E-4</v>
      </c>
      <c r="J50" s="226">
        <f t="shared" si="4"/>
        <v>4.5900000000000002E-10</v>
      </c>
      <c r="K50" s="227">
        <f>MAX(G50:J50)</f>
        <v>5.1340000000000001E-4</v>
      </c>
      <c r="L50" s="227">
        <f t="shared" si="1"/>
        <v>2.2486920000000001E-3</v>
      </c>
      <c r="M50" s="236">
        <f t="shared" si="2"/>
        <v>2.2486920000000001E-3</v>
      </c>
      <c r="T50" s="228"/>
    </row>
    <row r="51" spans="1:20" s="219" customFormat="1" x14ac:dyDescent="0.2">
      <c r="A51" s="617"/>
      <c r="B51" s="233" t="s">
        <v>174</v>
      </c>
      <c r="C51" s="226">
        <v>7.6</v>
      </c>
      <c r="D51" s="226">
        <v>2</v>
      </c>
      <c r="E51" s="226">
        <f>((1.12*$L$6)+0.37)*8.34</f>
        <v>17.097000000000001</v>
      </c>
      <c r="F51" s="226">
        <v>7.0060000000000002</v>
      </c>
      <c r="G51" s="226">
        <f t="shared" si="11"/>
        <v>0.38</v>
      </c>
      <c r="H51" s="226">
        <f t="shared" si="12"/>
        <v>0.72854540909253251</v>
      </c>
      <c r="I51" s="226">
        <f t="shared" si="13"/>
        <v>5.8129800000000005</v>
      </c>
      <c r="J51" s="226">
        <f t="shared" si="4"/>
        <v>2.806075408574368</v>
      </c>
      <c r="K51" s="234">
        <f t="shared" ref="K51:K55" si="14">MAX(G51:J51)</f>
        <v>5.8129800000000005</v>
      </c>
      <c r="L51" s="234">
        <f>K51*8760/2000</f>
        <v>25.460852400000004</v>
      </c>
      <c r="M51" s="235">
        <f t="shared" si="2"/>
        <v>25.460852400000004</v>
      </c>
      <c r="T51" s="228"/>
    </row>
    <row r="52" spans="1:20" s="219" customFormat="1" ht="14.25" x14ac:dyDescent="0.25">
      <c r="A52" s="617"/>
      <c r="B52" s="233" t="s">
        <v>17</v>
      </c>
      <c r="C52" s="226">
        <v>7.6</v>
      </c>
      <c r="D52" s="226">
        <v>1</v>
      </c>
      <c r="E52" s="226">
        <f>((1.12*$L$6)+0.37)*7.17</f>
        <v>14.698500000000001</v>
      </c>
      <c r="F52" s="226">
        <v>6.0229999999999997</v>
      </c>
      <c r="G52" s="226">
        <f t="shared" si="11"/>
        <v>0.38</v>
      </c>
      <c r="H52" s="226">
        <f t="shared" si="12"/>
        <v>0.36427270454626626</v>
      </c>
      <c r="I52" s="226">
        <f t="shared" si="13"/>
        <v>4.9974900000000009</v>
      </c>
      <c r="J52" s="226">
        <f t="shared" si="4"/>
        <v>2.4123597182191574</v>
      </c>
      <c r="K52" s="234">
        <f t="shared" si="14"/>
        <v>4.9974900000000009</v>
      </c>
      <c r="L52" s="234">
        <f t="shared" si="1"/>
        <v>21.889006200000004</v>
      </c>
      <c r="M52" s="235">
        <f t="shared" si="2"/>
        <v>21.889006200000004</v>
      </c>
      <c r="T52" s="228"/>
    </row>
    <row r="53" spans="1:20" s="219" customFormat="1" ht="14.25" x14ac:dyDescent="0.25">
      <c r="A53" s="617"/>
      <c r="B53" s="233" t="s">
        <v>16</v>
      </c>
      <c r="C53" s="226">
        <v>7.6</v>
      </c>
      <c r="D53" s="226">
        <v>0.25</v>
      </c>
      <c r="E53" s="226">
        <f>((1.12*$L$6)+0.37)*4.67</f>
        <v>9.573500000000001</v>
      </c>
      <c r="F53" s="226">
        <v>3.923</v>
      </c>
      <c r="G53" s="226">
        <f t="shared" si="11"/>
        <v>0.38</v>
      </c>
      <c r="H53" s="226">
        <f t="shared" si="12"/>
        <v>9.1068176136566564E-2</v>
      </c>
      <c r="I53" s="226">
        <f t="shared" si="13"/>
        <v>3.2549900000000007</v>
      </c>
      <c r="J53" s="226">
        <f>F53*$B$9</f>
        <v>1.5712580399425129</v>
      </c>
      <c r="K53" s="234">
        <f>MAX(G53:J53)</f>
        <v>3.2549900000000007</v>
      </c>
      <c r="L53" s="234">
        <f t="shared" si="1"/>
        <v>14.256856200000003</v>
      </c>
      <c r="M53" s="235">
        <f t="shared" si="2"/>
        <v>14.256856200000003</v>
      </c>
      <c r="T53" s="228"/>
    </row>
    <row r="54" spans="1:20" s="219" customFormat="1" ht="14.25" x14ac:dyDescent="0.25">
      <c r="A54" s="617"/>
      <c r="B54" s="233" t="s">
        <v>253</v>
      </c>
      <c r="C54" s="226">
        <v>0.6</v>
      </c>
      <c r="D54" s="226">
        <f>142*L7</f>
        <v>71</v>
      </c>
      <c r="E54" s="226">
        <f>157*L6</f>
        <v>235.5</v>
      </c>
      <c r="F54" s="226">
        <f>150*L9</f>
        <v>15</v>
      </c>
      <c r="G54" s="230">
        <f t="shared" si="11"/>
        <v>0.03</v>
      </c>
      <c r="H54" s="230">
        <f t="shared" si="12"/>
        <v>25.863362022784905</v>
      </c>
      <c r="I54" s="230">
        <f>E54*$B$6</f>
        <v>80.070000000000007</v>
      </c>
      <c r="J54" s="230">
        <f>F54*$B$9</f>
        <v>6.0078691305474621</v>
      </c>
      <c r="K54" s="237">
        <f>MAX(G54:J54)</f>
        <v>80.070000000000007</v>
      </c>
      <c r="L54" s="237">
        <f t="shared" si="1"/>
        <v>350.70660000000004</v>
      </c>
      <c r="M54" s="235">
        <f t="shared" si="2"/>
        <v>350.70660000000004</v>
      </c>
      <c r="T54" s="228"/>
    </row>
    <row r="55" spans="1:20" s="219" customFormat="1" x14ac:dyDescent="0.2">
      <c r="A55" s="617"/>
      <c r="B55" s="233" t="s">
        <v>178</v>
      </c>
      <c r="C55" s="226">
        <v>100</v>
      </c>
      <c r="D55" s="226">
        <v>20</v>
      </c>
      <c r="E55" s="226">
        <v>55</v>
      </c>
      <c r="F55" s="226">
        <v>32</v>
      </c>
      <c r="G55" s="230">
        <f t="shared" si="11"/>
        <v>5</v>
      </c>
      <c r="H55" s="230">
        <f t="shared" si="12"/>
        <v>7.2854540909253256</v>
      </c>
      <c r="I55" s="230">
        <f t="shared" si="13"/>
        <v>18.700000000000003</v>
      </c>
      <c r="J55" s="230">
        <f t="shared" si="4"/>
        <v>12.816787478501253</v>
      </c>
      <c r="K55" s="237">
        <f t="shared" si="14"/>
        <v>18.700000000000003</v>
      </c>
      <c r="L55" s="237">
        <f t="shared" si="1"/>
        <v>81.90600000000002</v>
      </c>
      <c r="M55" s="235">
        <f t="shared" si="2"/>
        <v>81.90600000000002</v>
      </c>
      <c r="T55" s="228"/>
    </row>
    <row r="56" spans="1:20" s="219" customFormat="1" x14ac:dyDescent="0.2">
      <c r="A56" s="617"/>
      <c r="B56" s="233" t="s">
        <v>15</v>
      </c>
      <c r="C56" s="226">
        <v>5.5</v>
      </c>
      <c r="D56" s="226">
        <v>0.34</v>
      </c>
      <c r="E56" s="230">
        <v>0.28000000000000003</v>
      </c>
      <c r="F56" s="226">
        <v>0.2</v>
      </c>
      <c r="G56" s="230">
        <f t="shared" si="11"/>
        <v>0.27500000000000002</v>
      </c>
      <c r="H56" s="230">
        <f t="shared" si="12"/>
        <v>0.12385271954573053</v>
      </c>
      <c r="I56" s="230">
        <f t="shared" si="13"/>
        <v>9.5200000000000021E-2</v>
      </c>
      <c r="J56" s="230">
        <f t="shared" si="4"/>
        <v>8.0104921740632828E-2</v>
      </c>
      <c r="K56" s="237">
        <f>MAX(G56:J56)</f>
        <v>0.27500000000000002</v>
      </c>
      <c r="L56" s="237">
        <f>K56*8760/2000</f>
        <v>1.2044999999999999</v>
      </c>
      <c r="M56" s="235">
        <f>K56*8760/2000</f>
        <v>1.2044999999999999</v>
      </c>
      <c r="T56" s="228"/>
    </row>
    <row r="57" spans="1:20" s="219" customFormat="1" x14ac:dyDescent="0.2">
      <c r="A57" s="617"/>
      <c r="B57" s="233" t="s">
        <v>215</v>
      </c>
      <c r="C57" s="226">
        <v>84</v>
      </c>
      <c r="D57" s="230">
        <v>5</v>
      </c>
      <c r="E57" s="226">
        <v>5</v>
      </c>
      <c r="F57" s="226">
        <v>5</v>
      </c>
      <c r="G57" s="230">
        <f t="shared" si="11"/>
        <v>4.2</v>
      </c>
      <c r="H57" s="230">
        <f t="shared" si="12"/>
        <v>1.8213635227313314</v>
      </c>
      <c r="I57" s="230">
        <f t="shared" si="13"/>
        <v>1.7000000000000002</v>
      </c>
      <c r="J57" s="230">
        <f t="shared" si="4"/>
        <v>2.0026230435158205</v>
      </c>
      <c r="K57" s="237">
        <f>MAX(G57:J57)</f>
        <v>4.2</v>
      </c>
      <c r="L57" s="237">
        <f t="shared" si="1"/>
        <v>18.396000000000001</v>
      </c>
      <c r="M57" s="235">
        <f>K57*8760/2000</f>
        <v>18.396000000000001</v>
      </c>
      <c r="T57" s="238"/>
    </row>
    <row r="58" spans="1:20" s="219" customFormat="1" ht="14.25" x14ac:dyDescent="0.25">
      <c r="A58" s="617"/>
      <c r="B58" s="233" t="s">
        <v>273</v>
      </c>
      <c r="C58" s="226">
        <v>120000</v>
      </c>
      <c r="D58" s="226">
        <v>22300</v>
      </c>
      <c r="E58" s="226">
        <v>24400</v>
      </c>
      <c r="F58" s="226">
        <v>22300</v>
      </c>
      <c r="G58" s="226">
        <f t="shared" si="11"/>
        <v>6000</v>
      </c>
      <c r="H58" s="226">
        <f t="shared" si="12"/>
        <v>8123.2813113817374</v>
      </c>
      <c r="I58" s="226">
        <f>E58*$B$6</f>
        <v>8296</v>
      </c>
      <c r="J58" s="226">
        <f t="shared" si="4"/>
        <v>8931.6987740805598</v>
      </c>
      <c r="K58" s="239">
        <f>MAX(G58:J58)</f>
        <v>8931.6987740805598</v>
      </c>
      <c r="L58" s="239">
        <f t="shared" si="1"/>
        <v>39120.840630472856</v>
      </c>
      <c r="M58" s="240">
        <f>K58*8760/2000</f>
        <v>39120.840630472856</v>
      </c>
      <c r="O58" s="241"/>
      <c r="P58" s="242"/>
      <c r="R58" s="243"/>
      <c r="S58" s="243"/>
      <c r="T58" s="243"/>
    </row>
    <row r="59" spans="1:20" s="219" customFormat="1" ht="14.25" x14ac:dyDescent="0.25">
      <c r="A59" s="617"/>
      <c r="B59" s="233" t="s">
        <v>274</v>
      </c>
      <c r="C59" s="226">
        <v>2.2999999999999998</v>
      </c>
      <c r="D59" s="226">
        <v>5.1999999999999998E-2</v>
      </c>
      <c r="E59" s="226">
        <v>1</v>
      </c>
      <c r="F59" s="226">
        <v>5.1999999999999998E-2</v>
      </c>
      <c r="G59" s="226">
        <f t="shared" si="11"/>
        <v>0.11499999999999999</v>
      </c>
      <c r="H59" s="226">
        <f t="shared" si="12"/>
        <v>1.8942180636405844E-2</v>
      </c>
      <c r="I59" s="226">
        <f t="shared" si="13"/>
        <v>0.34</v>
      </c>
      <c r="J59" s="226">
        <f t="shared" si="4"/>
        <v>2.0827279652564534E-2</v>
      </c>
      <c r="K59" s="244">
        <f>MAX(G59:J59)</f>
        <v>0.34</v>
      </c>
      <c r="L59" s="234">
        <f t="shared" si="1"/>
        <v>1.4892000000000001</v>
      </c>
      <c r="M59" s="235">
        <f>K59*8760/2000</f>
        <v>1.4892000000000001</v>
      </c>
      <c r="O59" s="241"/>
      <c r="P59" s="242"/>
      <c r="R59" s="243"/>
      <c r="S59" s="243"/>
      <c r="T59" s="243"/>
    </row>
    <row r="60" spans="1:20" s="219" customFormat="1" ht="14.25" x14ac:dyDescent="0.25">
      <c r="A60" s="617"/>
      <c r="B60" s="233" t="s">
        <v>275</v>
      </c>
      <c r="C60" s="226">
        <v>2.2000000000000002</v>
      </c>
      <c r="D60" s="226">
        <v>0.26</v>
      </c>
      <c r="E60" s="226">
        <v>0.53</v>
      </c>
      <c r="F60" s="226">
        <v>0.26</v>
      </c>
      <c r="G60" s="226">
        <f>C60*$B$8</f>
        <v>0.11000000000000001</v>
      </c>
      <c r="H60" s="226">
        <f>D60*$B$7</f>
        <v>9.4710903182029224E-2</v>
      </c>
      <c r="I60" s="226">
        <f>E60*$B$6</f>
        <v>0.18020000000000003</v>
      </c>
      <c r="J60" s="226">
        <f>F60*$B$9</f>
        <v>0.10413639826282269</v>
      </c>
      <c r="K60" s="244">
        <f>MAX(G60:J60)</f>
        <v>0.18020000000000003</v>
      </c>
      <c r="L60" s="234">
        <f t="shared" si="1"/>
        <v>0.78927600000000009</v>
      </c>
      <c r="M60" s="235">
        <f>K60*8760/2000</f>
        <v>0.78927600000000009</v>
      </c>
      <c r="O60" s="241"/>
      <c r="P60" s="242"/>
      <c r="R60" s="243"/>
      <c r="S60" s="243"/>
      <c r="T60" s="243"/>
    </row>
    <row r="61" spans="1:20" s="219" customFormat="1" x14ac:dyDescent="0.2">
      <c r="A61" s="617"/>
      <c r="B61" s="233" t="s">
        <v>184</v>
      </c>
      <c r="C61" s="226"/>
      <c r="D61" s="226"/>
      <c r="E61" s="226"/>
      <c r="F61" s="226"/>
      <c r="G61" s="226">
        <f t="shared" ref="G61:M61" si="15">SUM(G58:G60)</f>
        <v>6000.2249999999995</v>
      </c>
      <c r="H61" s="226">
        <f t="shared" si="15"/>
        <v>8123.3949644655559</v>
      </c>
      <c r="I61" s="226">
        <f t="shared" si="15"/>
        <v>8296.5202000000008</v>
      </c>
      <c r="J61" s="226">
        <f t="shared" si="15"/>
        <v>8931.8237377584737</v>
      </c>
      <c r="K61" s="239">
        <f t="shared" si="15"/>
        <v>8932.2189740805607</v>
      </c>
      <c r="L61" s="239">
        <f t="shared" si="15"/>
        <v>39123.119106472863</v>
      </c>
      <c r="M61" s="240">
        <f t="shared" si="15"/>
        <v>39123.119106472863</v>
      </c>
      <c r="O61" s="241"/>
      <c r="P61" s="242"/>
      <c r="R61" s="243"/>
      <c r="S61" s="243"/>
      <c r="T61" s="243"/>
    </row>
    <row r="62" spans="1:20" s="219" customFormat="1" ht="14.25" x14ac:dyDescent="0.25">
      <c r="A62" s="617"/>
      <c r="B62" s="233" t="s">
        <v>254</v>
      </c>
      <c r="C62" s="245"/>
      <c r="D62" s="245"/>
      <c r="E62" s="245"/>
      <c r="F62" s="245"/>
      <c r="G62" s="226">
        <f t="shared" ref="G62:L62" si="16">G58+(G59*21)+(G60*310)</f>
        <v>6036.5150000000003</v>
      </c>
      <c r="H62" s="226">
        <f>H58+(H59*21)+(H60*310)</f>
        <v>8153.0394771615311</v>
      </c>
      <c r="I62" s="226">
        <f>I58+(I59*21)+(I60*310)</f>
        <v>8359.0019999999986</v>
      </c>
      <c r="J62" s="226">
        <f>J58+(J59*21)+(J60*310)</f>
        <v>8964.4184304147384</v>
      </c>
      <c r="K62" s="239">
        <f>K58+(K59*21)+(K60*310)</f>
        <v>8994.7007740805584</v>
      </c>
      <c r="L62" s="239">
        <f t="shared" si="16"/>
        <v>39396.789390472863</v>
      </c>
      <c r="M62" s="240">
        <f>M58+(M59*21)+(M60*310)</f>
        <v>39396.789390472863</v>
      </c>
      <c r="O62" s="241"/>
      <c r="P62" s="242"/>
      <c r="R62" s="243"/>
      <c r="S62" s="243"/>
      <c r="T62" s="243"/>
    </row>
    <row r="63" spans="1:20" s="219" customFormat="1" ht="14.25" x14ac:dyDescent="0.2">
      <c r="A63" s="246" t="s">
        <v>283</v>
      </c>
      <c r="C63" s="247"/>
    </row>
    <row r="64" spans="1:20" s="216" customFormat="1" ht="18" x14ac:dyDescent="0.25">
      <c r="A64" s="616" t="s">
        <v>20</v>
      </c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</row>
    <row r="65" spans="1:18" s="216" customFormat="1" ht="15.75" x14ac:dyDescent="0.25">
      <c r="A65" s="615" t="s">
        <v>270</v>
      </c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5"/>
    </row>
    <row r="66" spans="1:18" s="216" customFormat="1" ht="15.75" x14ac:dyDescent="0.25">
      <c r="A66" s="615" t="s">
        <v>374</v>
      </c>
      <c r="B66" s="615"/>
      <c r="C66" s="615"/>
      <c r="D66" s="615"/>
      <c r="E66" s="615"/>
      <c r="F66" s="615"/>
      <c r="G66" s="615"/>
      <c r="H66" s="615"/>
      <c r="I66" s="615"/>
      <c r="J66" s="615"/>
      <c r="K66" s="615"/>
      <c r="L66" s="615"/>
      <c r="M66" s="615"/>
    </row>
    <row r="67" spans="1:18" s="219" customFormat="1" x14ac:dyDescent="0.2">
      <c r="A67" s="217" t="s">
        <v>116</v>
      </c>
      <c r="I67" s="248" t="s">
        <v>187</v>
      </c>
    </row>
    <row r="68" spans="1:18" s="219" customFormat="1" x14ac:dyDescent="0.2">
      <c r="A68" s="216" t="s">
        <v>117</v>
      </c>
      <c r="B68" s="216">
        <v>5</v>
      </c>
      <c r="C68" s="216" t="s">
        <v>63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</row>
    <row r="69" spans="1:18" s="219" customFormat="1" x14ac:dyDescent="0.2">
      <c r="A69" s="216" t="s">
        <v>122</v>
      </c>
      <c r="B69" s="216">
        <f>B68/H69/1000</f>
        <v>3.5713010249633949E-2</v>
      </c>
      <c r="C69" s="216" t="s">
        <v>119</v>
      </c>
      <c r="D69" s="216"/>
      <c r="E69" s="216" t="s">
        <v>123</v>
      </c>
      <c r="F69" s="216"/>
      <c r="G69" s="216"/>
      <c r="H69" s="216">
        <f>140005/1000000</f>
        <v>0.14000499999999999</v>
      </c>
      <c r="I69" s="216" t="s">
        <v>121</v>
      </c>
      <c r="K69" s="216" t="s">
        <v>259</v>
      </c>
      <c r="L69" s="221">
        <v>0.5</v>
      </c>
      <c r="M69" s="216" t="s">
        <v>258</v>
      </c>
      <c r="N69" s="216"/>
      <c r="O69" s="216"/>
      <c r="P69" s="216"/>
      <c r="Q69" s="216"/>
      <c r="R69" s="216"/>
    </row>
    <row r="70" spans="1:18" s="219" customFormat="1" x14ac:dyDescent="0.2">
      <c r="A70" s="216" t="s">
        <v>124</v>
      </c>
      <c r="B70" s="216">
        <f>B68/H70</f>
        <v>4.9019607843137254E-3</v>
      </c>
      <c r="C70" s="216" t="s">
        <v>125</v>
      </c>
      <c r="D70" s="216"/>
      <c r="E70" s="216" t="s">
        <v>126</v>
      </c>
      <c r="F70" s="216"/>
      <c r="G70" s="216"/>
      <c r="H70" s="216">
        <v>1020</v>
      </c>
      <c r="I70" s="216" t="s">
        <v>127</v>
      </c>
      <c r="K70" s="216"/>
      <c r="L70" s="216"/>
      <c r="M70" s="216"/>
      <c r="N70" s="216"/>
      <c r="O70" s="216"/>
      <c r="P70" s="216"/>
      <c r="Q70" s="216"/>
      <c r="R70" s="216"/>
    </row>
    <row r="71" spans="1:18" s="223" customFormat="1" ht="63.75" x14ac:dyDescent="0.2">
      <c r="A71" s="222" t="s">
        <v>128</v>
      </c>
      <c r="B71" s="222" t="s">
        <v>19</v>
      </c>
      <c r="C71" s="222" t="s">
        <v>130</v>
      </c>
      <c r="D71" s="222" t="s">
        <v>129</v>
      </c>
      <c r="E71" s="222" t="s">
        <v>133</v>
      </c>
      <c r="F71" s="222" t="s">
        <v>194</v>
      </c>
      <c r="G71" s="222" t="s">
        <v>196</v>
      </c>
      <c r="H71" s="222" t="s">
        <v>136</v>
      </c>
      <c r="I71" s="222" t="s">
        <v>137</v>
      </c>
    </row>
    <row r="72" spans="1:18" s="219" customFormat="1" x14ac:dyDescent="0.2">
      <c r="A72" s="617" t="s">
        <v>250</v>
      </c>
      <c r="B72" s="225" t="s">
        <v>139</v>
      </c>
      <c r="C72" s="226">
        <v>2.1100000000000001E-5</v>
      </c>
      <c r="D72" s="226">
        <v>1.7999999999999999E-6</v>
      </c>
      <c r="E72" s="249">
        <f>C72*$B$69</f>
        <v>7.5354451626727636E-7</v>
      </c>
      <c r="F72" s="249">
        <f>D72*$B$70</f>
        <v>8.823529411764706E-9</v>
      </c>
      <c r="G72" s="250">
        <f t="shared" ref="G72:G94" si="17">MAX(E72:F72)</f>
        <v>7.5354451626727636E-7</v>
      </c>
      <c r="H72" s="227">
        <f t="shared" ref="H72:H99" si="18">G72*8760/2000</f>
        <v>3.3005249812506704E-6</v>
      </c>
      <c r="I72" s="227">
        <f t="shared" ref="I72:I99" si="19">G72*8760/2000</f>
        <v>3.3005249812506704E-6</v>
      </c>
      <c r="J72" s="216"/>
    </row>
    <row r="73" spans="1:18" s="219" customFormat="1" x14ac:dyDescent="0.2">
      <c r="A73" s="617"/>
      <c r="B73" s="225" t="s">
        <v>140</v>
      </c>
      <c r="C73" s="226">
        <v>2.53E-7</v>
      </c>
      <c r="D73" s="226">
        <v>1.7999999999999999E-6</v>
      </c>
      <c r="E73" s="249">
        <f>C73*$B$69</f>
        <v>9.0353915931573885E-9</v>
      </c>
      <c r="F73" s="249">
        <f>D73*$B$70</f>
        <v>8.823529411764706E-9</v>
      </c>
      <c r="G73" s="250">
        <f t="shared" si="17"/>
        <v>9.0353915931573885E-9</v>
      </c>
      <c r="H73" s="227">
        <f t="shared" si="18"/>
        <v>3.9575015178029355E-8</v>
      </c>
      <c r="I73" s="227">
        <f t="shared" si="19"/>
        <v>3.9575015178029355E-8</v>
      </c>
      <c r="J73" s="216"/>
    </row>
    <row r="74" spans="1:18" s="219" customFormat="1" x14ac:dyDescent="0.2">
      <c r="A74" s="617"/>
      <c r="B74" s="225" t="s">
        <v>141</v>
      </c>
      <c r="C74" s="226">
        <v>1.22E-6</v>
      </c>
      <c r="D74" s="226">
        <v>2.3999999999999999E-6</v>
      </c>
      <c r="E74" s="249">
        <f>C74*$B$69</f>
        <v>4.3569872504553417E-8</v>
      </c>
      <c r="F74" s="249">
        <f t="shared" ref="F74:F80" si="20">D74*$B$70</f>
        <v>1.1764705882352941E-8</v>
      </c>
      <c r="G74" s="250">
        <f t="shared" si="17"/>
        <v>4.3569872504553417E-8</v>
      </c>
      <c r="H74" s="227">
        <f t="shared" si="18"/>
        <v>1.9083604156994398E-7</v>
      </c>
      <c r="I74" s="227">
        <f t="shared" si="19"/>
        <v>1.9083604156994398E-7</v>
      </c>
      <c r="J74" s="216"/>
    </row>
    <row r="75" spans="1:18" s="219" customFormat="1" x14ac:dyDescent="0.2">
      <c r="A75" s="617"/>
      <c r="B75" s="225" t="s">
        <v>142</v>
      </c>
      <c r="C75" s="226">
        <v>4.0099999999999997E-6</v>
      </c>
      <c r="D75" s="226">
        <v>1.7999999999999999E-6</v>
      </c>
      <c r="E75" s="249">
        <f>C75*$B$69</f>
        <v>1.4320917110103211E-7</v>
      </c>
      <c r="F75" s="249">
        <f t="shared" si="20"/>
        <v>8.823529411764706E-9</v>
      </c>
      <c r="G75" s="250">
        <f t="shared" si="17"/>
        <v>1.4320917110103211E-7</v>
      </c>
      <c r="H75" s="227">
        <f t="shared" si="18"/>
        <v>6.2725616942252073E-7</v>
      </c>
      <c r="I75" s="227">
        <f t="shared" si="19"/>
        <v>6.2725616942252073E-7</v>
      </c>
      <c r="J75" s="246"/>
    </row>
    <row r="76" spans="1:18" s="219" customFormat="1" x14ac:dyDescent="0.2">
      <c r="A76" s="617"/>
      <c r="B76" s="225" t="s">
        <v>143</v>
      </c>
      <c r="C76" s="226">
        <v>2.14E-4</v>
      </c>
      <c r="D76" s="226">
        <v>2.0999999999999999E-3</v>
      </c>
      <c r="E76" s="249">
        <f>C76*$B$69</f>
        <v>7.6425841934216658E-6</v>
      </c>
      <c r="F76" s="249">
        <f t="shared" si="20"/>
        <v>1.0294117647058823E-5</v>
      </c>
      <c r="G76" s="250">
        <f t="shared" si="17"/>
        <v>1.0294117647058823E-5</v>
      </c>
      <c r="H76" s="227">
        <f t="shared" si="18"/>
        <v>4.5088235294117644E-5</v>
      </c>
      <c r="I76" s="227">
        <f t="shared" si="19"/>
        <v>4.5088235294117644E-5</v>
      </c>
      <c r="J76" s="246"/>
    </row>
    <row r="77" spans="1:18" s="219" customFormat="1" x14ac:dyDescent="0.2">
      <c r="A77" s="617"/>
      <c r="B77" s="251" t="s">
        <v>144</v>
      </c>
      <c r="C77" s="226"/>
      <c r="D77" s="226">
        <v>1.1999999999999999E-6</v>
      </c>
      <c r="E77" s="249"/>
      <c r="F77" s="249">
        <f t="shared" si="20"/>
        <v>5.8823529411764704E-9</v>
      </c>
      <c r="G77" s="250">
        <f t="shared" si="17"/>
        <v>5.8823529411764704E-9</v>
      </c>
      <c r="H77" s="227">
        <f t="shared" si="18"/>
        <v>2.5764705882352942E-8</v>
      </c>
      <c r="I77" s="227">
        <f t="shared" si="19"/>
        <v>2.5764705882352942E-8</v>
      </c>
      <c r="J77" s="246"/>
    </row>
    <row r="78" spans="1:18" s="219" customFormat="1" x14ac:dyDescent="0.2">
      <c r="A78" s="617"/>
      <c r="B78" s="225" t="s">
        <v>145</v>
      </c>
      <c r="C78" s="226">
        <v>1.48E-6</v>
      </c>
      <c r="D78" s="226">
        <v>1.7999999999999999E-6</v>
      </c>
      <c r="E78" s="249">
        <f>C78*$B$69</f>
        <v>5.2855255169458243E-8</v>
      </c>
      <c r="F78" s="249">
        <f t="shared" si="20"/>
        <v>8.823529411764706E-9</v>
      </c>
      <c r="G78" s="250">
        <f t="shared" si="17"/>
        <v>5.2855255169458243E-8</v>
      </c>
      <c r="H78" s="227">
        <f t="shared" si="18"/>
        <v>2.3150601764222709E-7</v>
      </c>
      <c r="I78" s="227">
        <f t="shared" si="19"/>
        <v>2.3150601764222709E-7</v>
      </c>
      <c r="J78" s="246"/>
    </row>
    <row r="79" spans="1:18" s="219" customFormat="1" x14ac:dyDescent="0.2">
      <c r="A79" s="617"/>
      <c r="B79" s="225" t="s">
        <v>146</v>
      </c>
      <c r="C79" s="226">
        <v>2.26E-6</v>
      </c>
      <c r="D79" s="226">
        <v>1.1999999999999999E-6</v>
      </c>
      <c r="E79" s="249">
        <f>C79*$B$69</f>
        <v>8.0711403164172727E-8</v>
      </c>
      <c r="F79" s="249">
        <f t="shared" si="20"/>
        <v>5.8823529411764704E-9</v>
      </c>
      <c r="G79" s="250">
        <f t="shared" si="17"/>
        <v>8.0711403164172727E-8</v>
      </c>
      <c r="H79" s="227">
        <f t="shared" si="18"/>
        <v>3.5351594585907655E-7</v>
      </c>
      <c r="I79" s="227">
        <f t="shared" si="19"/>
        <v>3.5351594585907655E-7</v>
      </c>
      <c r="J79" s="246"/>
    </row>
    <row r="80" spans="1:18" s="219" customFormat="1" x14ac:dyDescent="0.2">
      <c r="A80" s="617"/>
      <c r="B80" s="225" t="s">
        <v>147</v>
      </c>
      <c r="C80" s="226">
        <v>1.48E-6</v>
      </c>
      <c r="D80" s="226">
        <v>1.7999999999999999E-6</v>
      </c>
      <c r="E80" s="249">
        <f>C80*$B$69</f>
        <v>5.2855255169458243E-8</v>
      </c>
      <c r="F80" s="249">
        <f t="shared" si="20"/>
        <v>8.823529411764706E-9</v>
      </c>
      <c r="G80" s="250">
        <f t="shared" si="17"/>
        <v>5.2855255169458243E-8</v>
      </c>
      <c r="H80" s="227">
        <f t="shared" si="18"/>
        <v>2.3150601764222709E-7</v>
      </c>
      <c r="I80" s="227">
        <f t="shared" si="19"/>
        <v>2.3150601764222709E-7</v>
      </c>
      <c r="J80" s="246"/>
    </row>
    <row r="81" spans="1:10" s="219" customFormat="1" x14ac:dyDescent="0.2">
      <c r="A81" s="617"/>
      <c r="B81" s="225" t="s">
        <v>148</v>
      </c>
      <c r="C81" s="226">
        <v>2.3800000000000001E-6</v>
      </c>
      <c r="D81" s="226">
        <v>1.7999999999999999E-6</v>
      </c>
      <c r="E81" s="249">
        <f>C81*$B$69</f>
        <v>8.4996964394128803E-8</v>
      </c>
      <c r="F81" s="249">
        <f>D81*$B$70</f>
        <v>8.823529411764706E-9</v>
      </c>
      <c r="G81" s="250">
        <f t="shared" si="17"/>
        <v>8.4996964394128803E-8</v>
      </c>
      <c r="H81" s="227">
        <f>G81*8760/2000</f>
        <v>3.7228670404628417E-7</v>
      </c>
      <c r="I81" s="227">
        <f t="shared" si="19"/>
        <v>3.7228670404628417E-7</v>
      </c>
      <c r="J81" s="246"/>
    </row>
    <row r="82" spans="1:10" s="219" customFormat="1" x14ac:dyDescent="0.2">
      <c r="A82" s="617"/>
      <c r="B82" s="225" t="s">
        <v>149</v>
      </c>
      <c r="C82" s="226">
        <v>1.6700000000000001E-6</v>
      </c>
      <c r="D82" s="226">
        <v>1.1999999999999999E-3</v>
      </c>
      <c r="E82" s="249">
        <f>C82*$B$69</f>
        <v>5.9640727116888694E-8</v>
      </c>
      <c r="F82" s="249">
        <f>D82*$B$70</f>
        <v>5.8823529411764701E-6</v>
      </c>
      <c r="G82" s="250">
        <f t="shared" si="17"/>
        <v>5.8823529411764701E-6</v>
      </c>
      <c r="H82" s="227">
        <f t="shared" si="18"/>
        <v>2.5764705882352938E-5</v>
      </c>
      <c r="I82" s="227">
        <f t="shared" si="19"/>
        <v>2.5764705882352938E-5</v>
      </c>
      <c r="J82" s="246"/>
    </row>
    <row r="83" spans="1:10" s="219" customFormat="1" x14ac:dyDescent="0.2">
      <c r="A83" s="617"/>
      <c r="B83" s="225" t="s">
        <v>150</v>
      </c>
      <c r="C83" s="226"/>
      <c r="D83" s="226">
        <v>1.1999999999999999E-3</v>
      </c>
      <c r="E83" s="249"/>
      <c r="F83" s="249">
        <f>D83*$B$70</f>
        <v>5.8823529411764701E-6</v>
      </c>
      <c r="G83" s="250">
        <f t="shared" si="17"/>
        <v>5.8823529411764701E-6</v>
      </c>
      <c r="H83" s="227">
        <f t="shared" si="18"/>
        <v>2.5764705882352938E-5</v>
      </c>
      <c r="I83" s="227">
        <f t="shared" si="19"/>
        <v>2.5764705882352938E-5</v>
      </c>
      <c r="J83" s="246"/>
    </row>
    <row r="84" spans="1:10" s="219" customFormat="1" x14ac:dyDescent="0.2">
      <c r="A84" s="617"/>
      <c r="B84" s="225" t="s">
        <v>242</v>
      </c>
      <c r="C84" s="226"/>
      <c r="D84" s="226">
        <v>1.5999999999999999E-5</v>
      </c>
      <c r="E84" s="249"/>
      <c r="F84" s="249">
        <f>D84*$B$70</f>
        <v>7.8431372549019607E-8</v>
      </c>
      <c r="G84" s="250">
        <f t="shared" si="17"/>
        <v>7.8431372549019607E-8</v>
      </c>
      <c r="H84" s="227">
        <f>G84*8760/2000</f>
        <v>3.4352941176470583E-7</v>
      </c>
      <c r="I84" s="227">
        <f t="shared" si="19"/>
        <v>3.4352941176470583E-7</v>
      </c>
      <c r="J84" s="246"/>
    </row>
    <row r="85" spans="1:10" s="219" customFormat="1" x14ac:dyDescent="0.2">
      <c r="A85" s="617"/>
      <c r="B85" s="225" t="s">
        <v>151</v>
      </c>
      <c r="C85" s="226">
        <v>6.3600000000000001E-5</v>
      </c>
      <c r="D85" s="226"/>
      <c r="E85" s="249">
        <f t="shared" ref="E85:E90" si="21">C85*$B$69</f>
        <v>2.2713474518767194E-6</v>
      </c>
      <c r="F85" s="249"/>
      <c r="G85" s="250">
        <f t="shared" si="17"/>
        <v>2.2713474518767194E-6</v>
      </c>
      <c r="H85" s="227">
        <f t="shared" si="18"/>
        <v>9.9485018392200313E-6</v>
      </c>
      <c r="I85" s="227">
        <f t="shared" si="19"/>
        <v>9.9485018392200313E-6</v>
      </c>
      <c r="J85" s="246"/>
    </row>
    <row r="86" spans="1:10" s="219" customFormat="1" x14ac:dyDescent="0.2">
      <c r="A86" s="617"/>
      <c r="B86" s="225" t="s">
        <v>152</v>
      </c>
      <c r="C86" s="226">
        <v>4.8400000000000002E-6</v>
      </c>
      <c r="D86" s="226">
        <v>3.0000000000000001E-6</v>
      </c>
      <c r="E86" s="249">
        <f t="shared" si="21"/>
        <v>1.7285096960822832E-7</v>
      </c>
      <c r="F86" s="249">
        <f t="shared" ref="F86:F94" si="22">D86*$B$70</f>
        <v>1.4705882352941177E-8</v>
      </c>
      <c r="G86" s="250">
        <f t="shared" si="17"/>
        <v>1.7285096960822832E-7</v>
      </c>
      <c r="H86" s="227">
        <f t="shared" si="18"/>
        <v>7.5708724688404006E-7</v>
      </c>
      <c r="I86" s="227">
        <f t="shared" si="19"/>
        <v>7.5708724688404006E-7</v>
      </c>
      <c r="J86" s="246"/>
    </row>
    <row r="87" spans="1:10" s="219" customFormat="1" x14ac:dyDescent="0.2">
      <c r="A87" s="617"/>
      <c r="B87" s="225" t="s">
        <v>153</v>
      </c>
      <c r="C87" s="226">
        <v>4.4700000000000004E-6</v>
      </c>
      <c r="D87" s="226">
        <v>2.7999999999999999E-6</v>
      </c>
      <c r="E87" s="249">
        <f t="shared" si="21"/>
        <v>1.5963715581586377E-7</v>
      </c>
      <c r="F87" s="249">
        <f t="shared" si="22"/>
        <v>1.3725490196078431E-8</v>
      </c>
      <c r="G87" s="250">
        <f t="shared" si="17"/>
        <v>1.5963715581586377E-7</v>
      </c>
      <c r="H87" s="227">
        <f t="shared" si="18"/>
        <v>6.9921074247348328E-7</v>
      </c>
      <c r="I87" s="227">
        <f t="shared" si="19"/>
        <v>6.9921074247348328E-7</v>
      </c>
      <c r="J87" s="246"/>
    </row>
    <row r="88" spans="1:10" s="219" customFormat="1" x14ac:dyDescent="0.2">
      <c r="A88" s="617"/>
      <c r="B88" s="225" t="s">
        <v>154</v>
      </c>
      <c r="C88" s="226">
        <v>3.3000000000000002E-2</v>
      </c>
      <c r="D88" s="226">
        <v>7.4999999999999997E-2</v>
      </c>
      <c r="E88" s="249">
        <f t="shared" si="21"/>
        <v>1.1785293382379203E-3</v>
      </c>
      <c r="F88" s="249">
        <f t="shared" si="22"/>
        <v>3.6764705882352941E-4</v>
      </c>
      <c r="G88" s="250">
        <f t="shared" si="17"/>
        <v>1.1785293382379203E-3</v>
      </c>
      <c r="H88" s="227">
        <f t="shared" si="18"/>
        <v>5.1619585014820906E-3</v>
      </c>
      <c r="I88" s="227">
        <f t="shared" si="19"/>
        <v>5.1619585014820906E-3</v>
      </c>
      <c r="J88" s="246"/>
    </row>
    <row r="89" spans="1:10" s="219" customFormat="1" x14ac:dyDescent="0.2">
      <c r="A89" s="617"/>
      <c r="B89" s="225" t="s">
        <v>155</v>
      </c>
      <c r="C89" s="226"/>
      <c r="D89" s="226">
        <v>1.8</v>
      </c>
      <c r="E89" s="249">
        <f t="shared" si="21"/>
        <v>0</v>
      </c>
      <c r="F89" s="249">
        <f t="shared" si="22"/>
        <v>8.8235294117647058E-3</v>
      </c>
      <c r="G89" s="250">
        <f t="shared" si="17"/>
        <v>8.8235294117647058E-3</v>
      </c>
      <c r="H89" s="227">
        <f t="shared" si="18"/>
        <v>3.8647058823529416E-2</v>
      </c>
      <c r="I89" s="229">
        <f t="shared" si="19"/>
        <v>3.8647058823529416E-2</v>
      </c>
      <c r="J89" s="246"/>
    </row>
    <row r="90" spans="1:10" s="219" customFormat="1" x14ac:dyDescent="0.2">
      <c r="A90" s="617"/>
      <c r="B90" s="225" t="s">
        <v>156</v>
      </c>
      <c r="C90" s="226">
        <v>2.1399999999999998E-6</v>
      </c>
      <c r="D90" s="226">
        <v>1.7999999999999999E-6</v>
      </c>
      <c r="E90" s="249">
        <f t="shared" si="21"/>
        <v>7.642584193421665E-8</v>
      </c>
      <c r="F90" s="249">
        <f t="shared" si="22"/>
        <v>8.823529411764706E-9</v>
      </c>
      <c r="G90" s="250">
        <f t="shared" si="17"/>
        <v>7.642584193421665E-8</v>
      </c>
      <c r="H90" s="227">
        <f t="shared" si="18"/>
        <v>3.3474518767186893E-7</v>
      </c>
      <c r="I90" s="229">
        <f t="shared" si="19"/>
        <v>3.3474518767186893E-7</v>
      </c>
      <c r="J90" s="246"/>
    </row>
    <row r="91" spans="1:10" s="219" customFormat="1" x14ac:dyDescent="0.2">
      <c r="A91" s="617"/>
      <c r="B91" s="225" t="s">
        <v>244</v>
      </c>
      <c r="C91" s="226"/>
      <c r="D91" s="226">
        <v>2.4000000000000001E-5</v>
      </c>
      <c r="E91" s="249"/>
      <c r="F91" s="249">
        <f t="shared" si="22"/>
        <v>1.1764705882352942E-7</v>
      </c>
      <c r="G91" s="250">
        <f t="shared" si="17"/>
        <v>1.1764705882352942E-7</v>
      </c>
      <c r="H91" s="227">
        <f t="shared" si="18"/>
        <v>5.1529411764705885E-7</v>
      </c>
      <c r="I91" s="229">
        <f t="shared" si="19"/>
        <v>5.1529411764705885E-7</v>
      </c>
      <c r="J91" s="246"/>
    </row>
    <row r="92" spans="1:10" s="219" customFormat="1" x14ac:dyDescent="0.2">
      <c r="A92" s="617"/>
      <c r="B92" s="225" t="s">
        <v>245</v>
      </c>
      <c r="C92" s="226"/>
      <c r="D92" s="226">
        <v>1.7999999999999999E-6</v>
      </c>
      <c r="E92" s="249"/>
      <c r="F92" s="249">
        <f t="shared" si="22"/>
        <v>8.823529411764706E-9</v>
      </c>
      <c r="G92" s="250">
        <f t="shared" si="17"/>
        <v>8.823529411764706E-9</v>
      </c>
      <c r="H92" s="227">
        <f t="shared" si="18"/>
        <v>3.8647058823529411E-8</v>
      </c>
      <c r="I92" s="229">
        <f t="shared" si="19"/>
        <v>3.8647058823529411E-8</v>
      </c>
      <c r="J92" s="246"/>
    </row>
    <row r="93" spans="1:10" s="219" customFormat="1" x14ac:dyDescent="0.2">
      <c r="A93" s="617"/>
      <c r="B93" s="225" t="s">
        <v>157</v>
      </c>
      <c r="C93" s="226">
        <v>1.1299999999999999E-3</v>
      </c>
      <c r="D93" s="226">
        <v>6.0999999999999997E-4</v>
      </c>
      <c r="E93" s="249">
        <f>C93*$B$69</f>
        <v>4.0355701582086361E-5</v>
      </c>
      <c r="F93" s="249">
        <f t="shared" si="22"/>
        <v>2.9901960784313724E-6</v>
      </c>
      <c r="G93" s="250">
        <f t="shared" si="17"/>
        <v>4.0355701582086361E-5</v>
      </c>
      <c r="H93" s="227">
        <f t="shared" si="18"/>
        <v>1.7675797292953827E-4</v>
      </c>
      <c r="I93" s="229">
        <f t="shared" si="19"/>
        <v>1.7675797292953827E-4</v>
      </c>
      <c r="J93" s="246"/>
    </row>
    <row r="94" spans="1:10" s="219" customFormat="1" x14ac:dyDescent="0.2">
      <c r="A94" s="617"/>
      <c r="B94" s="225" t="s">
        <v>158</v>
      </c>
      <c r="C94" s="226">
        <v>1.0499999999999999E-5</v>
      </c>
      <c r="D94" s="226">
        <v>1.7E-5</v>
      </c>
      <c r="E94" s="249">
        <f>C94*$B$69</f>
        <v>3.7498660762115644E-7</v>
      </c>
      <c r="F94" s="249">
        <f t="shared" si="22"/>
        <v>8.3333333333333325E-8</v>
      </c>
      <c r="G94" s="250">
        <f t="shared" si="17"/>
        <v>3.7498660762115644E-7</v>
      </c>
      <c r="H94" s="227">
        <f t="shared" si="18"/>
        <v>1.6424413413806652E-6</v>
      </c>
      <c r="I94" s="229">
        <f t="shared" si="19"/>
        <v>1.6424413413806652E-6</v>
      </c>
      <c r="J94" s="246"/>
    </row>
    <row r="95" spans="1:10" s="219" customFormat="1" x14ac:dyDescent="0.2">
      <c r="A95" s="617"/>
      <c r="B95" s="225" t="s">
        <v>284</v>
      </c>
      <c r="C95" s="226"/>
      <c r="D95" s="226"/>
      <c r="E95" s="249"/>
      <c r="F95" s="249"/>
      <c r="G95" s="250"/>
      <c r="H95" s="227"/>
      <c r="I95" s="229"/>
      <c r="J95" s="246"/>
    </row>
    <row r="96" spans="1:10" s="219" customFormat="1" x14ac:dyDescent="0.2">
      <c r="A96" s="617"/>
      <c r="B96" s="225" t="s">
        <v>159</v>
      </c>
      <c r="C96" s="226">
        <v>4.25E-6</v>
      </c>
      <c r="D96" s="226"/>
      <c r="E96" s="249">
        <f>C96*$B$69</f>
        <v>1.5178029356094429E-7</v>
      </c>
      <c r="F96" s="249"/>
      <c r="G96" s="250">
        <f t="shared" ref="G96:G109" si="23">MAX(E96:F96)</f>
        <v>1.5178029356094429E-7</v>
      </c>
      <c r="H96" s="227">
        <f t="shared" si="18"/>
        <v>6.6479768579693597E-7</v>
      </c>
      <c r="I96" s="229">
        <f t="shared" si="19"/>
        <v>6.6479768579693597E-7</v>
      </c>
      <c r="J96" s="246"/>
    </row>
    <row r="97" spans="1:12" s="219" customFormat="1" x14ac:dyDescent="0.2">
      <c r="A97" s="617"/>
      <c r="B97" s="225" t="s">
        <v>160</v>
      </c>
      <c r="C97" s="226">
        <v>6.1999999999999998E-3</v>
      </c>
      <c r="D97" s="226">
        <v>5.0000000000000004E-6</v>
      </c>
      <c r="E97" s="249"/>
      <c r="F97" s="249">
        <f>D97*$B$70</f>
        <v>2.450980392156863E-8</v>
      </c>
      <c r="G97" s="250">
        <f t="shared" si="23"/>
        <v>2.450980392156863E-8</v>
      </c>
      <c r="H97" s="227">
        <f t="shared" si="18"/>
        <v>1.073529411764706E-7</v>
      </c>
      <c r="I97" s="229">
        <f t="shared" si="19"/>
        <v>1.073529411764706E-7</v>
      </c>
      <c r="J97" s="246"/>
    </row>
    <row r="98" spans="1:12" s="219" customFormat="1" x14ac:dyDescent="0.2">
      <c r="A98" s="617"/>
      <c r="B98" s="225" t="s">
        <v>282</v>
      </c>
      <c r="C98" s="226">
        <v>2.3599999999999999E-4</v>
      </c>
      <c r="D98" s="226"/>
      <c r="E98" s="249">
        <f>C98*$B$69</f>
        <v>8.4282704189136117E-6</v>
      </c>
      <c r="F98" s="249"/>
      <c r="G98" s="250">
        <f>MAX(E98:F98)</f>
        <v>8.4282704189136117E-6</v>
      </c>
      <c r="H98" s="227">
        <f>G98*8760/2000</f>
        <v>3.6915824434841618E-5</v>
      </c>
      <c r="I98" s="229">
        <f t="shared" si="19"/>
        <v>3.6915824434841618E-5</v>
      </c>
      <c r="J98" s="246"/>
    </row>
    <row r="99" spans="1:12" s="219" customFormat="1" x14ac:dyDescent="0.2">
      <c r="A99" s="617"/>
      <c r="B99" s="225" t="s">
        <v>161</v>
      </c>
      <c r="C99" s="226">
        <v>1.0900000000000001E-4</v>
      </c>
      <c r="D99" s="226"/>
      <c r="E99" s="249">
        <f>C99*$B$69</f>
        <v>3.892718117210101E-6</v>
      </c>
      <c r="F99" s="249"/>
      <c r="G99" s="250">
        <f t="shared" si="23"/>
        <v>3.892718117210101E-6</v>
      </c>
      <c r="H99" s="227">
        <f t="shared" si="18"/>
        <v>1.705010535338024E-5</v>
      </c>
      <c r="I99" s="229">
        <f t="shared" si="19"/>
        <v>1.705010535338024E-5</v>
      </c>
      <c r="J99" s="246"/>
    </row>
    <row r="100" spans="1:12" s="219" customFormat="1" x14ac:dyDescent="0.2">
      <c r="A100" s="617"/>
      <c r="B100" s="225" t="s">
        <v>162</v>
      </c>
      <c r="C100" s="226"/>
      <c r="D100" s="226">
        <v>5.2500000000000003E-3</v>
      </c>
      <c r="E100" s="249"/>
      <c r="F100" s="249">
        <f t="shared" ref="F100:F109" si="24">D100*$B$70</f>
        <v>2.573529411764706E-5</v>
      </c>
      <c r="G100" s="250">
        <f t="shared" si="23"/>
        <v>2.573529411764706E-5</v>
      </c>
      <c r="H100" s="227">
        <f>G100*8760/2000</f>
        <v>1.1272058823529412E-4</v>
      </c>
      <c r="I100" s="229">
        <f>G100*8760/2000</f>
        <v>1.1272058823529412E-4</v>
      </c>
      <c r="J100" s="246"/>
      <c r="L100" s="228"/>
    </row>
    <row r="101" spans="1:12" s="219" customFormat="1" x14ac:dyDescent="0.2">
      <c r="A101" s="617"/>
      <c r="B101" s="225" t="s">
        <v>163</v>
      </c>
      <c r="C101" s="226">
        <f>(0.000004)*$H$7/1000</f>
        <v>5.6002E-10</v>
      </c>
      <c r="D101" s="226">
        <v>2.0000000000000001E-4</v>
      </c>
      <c r="E101" s="249">
        <f t="shared" ref="E101:E109" si="25">C101*$B$69</f>
        <v>2.0000000000000005E-11</v>
      </c>
      <c r="F101" s="249">
        <f t="shared" si="24"/>
        <v>9.8039215686274508E-7</v>
      </c>
      <c r="G101" s="250">
        <f t="shared" si="23"/>
        <v>9.8039215686274508E-7</v>
      </c>
      <c r="H101" s="227">
        <f>G101*8760/2000</f>
        <v>4.2941176470588233E-6</v>
      </c>
      <c r="I101" s="229">
        <f>G101*8760/2000</f>
        <v>4.2941176470588233E-6</v>
      </c>
      <c r="J101" s="246"/>
      <c r="L101" s="228"/>
    </row>
    <row r="102" spans="1:12" s="219" customFormat="1" x14ac:dyDescent="0.2">
      <c r="A102" s="617"/>
      <c r="B102" s="225" t="s">
        <v>164</v>
      </c>
      <c r="C102" s="226">
        <f>(0.000003)*$H$7/1000</f>
        <v>4.2001499999999997E-10</v>
      </c>
      <c r="D102" s="226">
        <v>1.2E-5</v>
      </c>
      <c r="E102" s="249">
        <f t="shared" si="25"/>
        <v>1.5000000000000003E-11</v>
      </c>
      <c r="F102" s="249">
        <f t="shared" si="24"/>
        <v>5.8823529411764709E-8</v>
      </c>
      <c r="G102" s="250">
        <f t="shared" si="23"/>
        <v>5.8823529411764709E-8</v>
      </c>
      <c r="H102" s="227">
        <f t="shared" ref="H102:H108" si="26">G102*8760/2000</f>
        <v>2.5764705882352943E-7</v>
      </c>
      <c r="I102" s="229">
        <f t="shared" ref="I102:I112" si="27">G102*8760/2000</f>
        <v>2.5764705882352943E-7</v>
      </c>
      <c r="J102" s="246"/>
      <c r="L102" s="228"/>
    </row>
    <row r="103" spans="1:12" s="219" customFormat="1" x14ac:dyDescent="0.2">
      <c r="A103" s="617"/>
      <c r="B103" s="225" t="s">
        <v>165</v>
      </c>
      <c r="C103" s="226">
        <f>(0.000003)*$H$7/1000</f>
        <v>4.2001499999999997E-10</v>
      </c>
      <c r="D103" s="226">
        <v>1.1000000000000001E-3</v>
      </c>
      <c r="E103" s="249">
        <f t="shared" si="25"/>
        <v>1.5000000000000003E-11</v>
      </c>
      <c r="F103" s="249">
        <f t="shared" si="24"/>
        <v>5.3921568627450987E-6</v>
      </c>
      <c r="G103" s="250">
        <f t="shared" si="23"/>
        <v>5.3921568627450987E-6</v>
      </c>
      <c r="H103" s="227">
        <f t="shared" si="26"/>
        <v>2.3617647058823532E-5</v>
      </c>
      <c r="I103" s="229">
        <f t="shared" si="27"/>
        <v>2.3617647058823532E-5</v>
      </c>
      <c r="J103" s="246"/>
      <c r="L103" s="228"/>
    </row>
    <row r="104" spans="1:12" s="219" customFormat="1" x14ac:dyDescent="0.2">
      <c r="A104" s="617"/>
      <c r="B104" s="225" t="s">
        <v>166</v>
      </c>
      <c r="C104" s="226">
        <f>(0.000003)*$H$7/1000</f>
        <v>4.2001499999999997E-10</v>
      </c>
      <c r="D104" s="226">
        <v>1.4E-3</v>
      </c>
      <c r="E104" s="249">
        <f t="shared" si="25"/>
        <v>1.5000000000000003E-11</v>
      </c>
      <c r="F104" s="249">
        <f t="shared" si="24"/>
        <v>6.8627450980392154E-6</v>
      </c>
      <c r="G104" s="250">
        <f t="shared" si="23"/>
        <v>6.8627450980392154E-6</v>
      </c>
      <c r="H104" s="227">
        <f t="shared" si="26"/>
        <v>3.0058823529411764E-5</v>
      </c>
      <c r="I104" s="229">
        <f t="shared" si="27"/>
        <v>3.0058823529411764E-5</v>
      </c>
      <c r="J104" s="246"/>
      <c r="L104" s="228"/>
    </row>
    <row r="105" spans="1:12" s="219" customFormat="1" x14ac:dyDescent="0.2">
      <c r="A105" s="617"/>
      <c r="B105" s="225" t="s">
        <v>167</v>
      </c>
      <c r="C105" s="226"/>
      <c r="D105" s="226">
        <v>8.3999999999999995E-5</v>
      </c>
      <c r="E105" s="249">
        <f t="shared" si="25"/>
        <v>0</v>
      </c>
      <c r="F105" s="249">
        <f t="shared" si="24"/>
        <v>4.1176470588235289E-7</v>
      </c>
      <c r="G105" s="250">
        <f t="shared" si="23"/>
        <v>4.1176470588235289E-7</v>
      </c>
      <c r="H105" s="227">
        <f t="shared" si="26"/>
        <v>1.8035294117647058E-6</v>
      </c>
      <c r="I105" s="229">
        <f t="shared" si="27"/>
        <v>1.8035294117647058E-6</v>
      </c>
      <c r="J105" s="246"/>
      <c r="L105" s="228"/>
    </row>
    <row r="106" spans="1:12" s="219" customFormat="1" x14ac:dyDescent="0.2">
      <c r="A106" s="617"/>
      <c r="B106" s="225" t="s">
        <v>168</v>
      </c>
      <c r="C106" s="226">
        <f>(0.000006)*$H$7/1000</f>
        <v>8.4002999999999994E-10</v>
      </c>
      <c r="D106" s="226">
        <v>3.8000000000000002E-4</v>
      </c>
      <c r="E106" s="249">
        <f t="shared" si="25"/>
        <v>3.0000000000000006E-11</v>
      </c>
      <c r="F106" s="249">
        <f t="shared" si="24"/>
        <v>1.8627450980392158E-6</v>
      </c>
      <c r="G106" s="250">
        <f t="shared" si="23"/>
        <v>1.8627450980392158E-6</v>
      </c>
      <c r="H106" s="227">
        <f t="shared" si="26"/>
        <v>8.1588235294117654E-6</v>
      </c>
      <c r="I106" s="229">
        <f t="shared" si="27"/>
        <v>8.1588235294117654E-6</v>
      </c>
      <c r="J106" s="246"/>
      <c r="L106" s="216"/>
    </row>
    <row r="107" spans="1:12" s="219" customFormat="1" x14ac:dyDescent="0.2">
      <c r="A107" s="617"/>
      <c r="B107" s="225" t="s">
        <v>169</v>
      </c>
      <c r="C107" s="226">
        <f>(0.000003)*$H$7/1000</f>
        <v>4.2001499999999997E-10</v>
      </c>
      <c r="D107" s="230">
        <v>2.5999999999999998E-4</v>
      </c>
      <c r="E107" s="252">
        <f t="shared" si="25"/>
        <v>1.5000000000000003E-11</v>
      </c>
      <c r="F107" s="252">
        <f t="shared" si="24"/>
        <v>1.2745098039215686E-6</v>
      </c>
      <c r="G107" s="253">
        <f t="shared" si="23"/>
        <v>1.2745098039215686E-6</v>
      </c>
      <c r="H107" s="229">
        <f t="shared" si="26"/>
        <v>5.5823529411764704E-6</v>
      </c>
      <c r="I107" s="229">
        <f t="shared" si="27"/>
        <v>5.5823529411764704E-6</v>
      </c>
      <c r="J107" s="246"/>
      <c r="K107" s="216"/>
      <c r="L107" s="231"/>
    </row>
    <row r="108" spans="1:12" s="219" customFormat="1" x14ac:dyDescent="0.2">
      <c r="A108" s="617"/>
      <c r="B108" s="225" t="s">
        <v>170</v>
      </c>
      <c r="C108" s="226">
        <f>(0.000003)*$H$7/1000</f>
        <v>4.2001499999999997E-10</v>
      </c>
      <c r="D108" s="226">
        <v>2.0999999999999999E-3</v>
      </c>
      <c r="E108" s="249">
        <f t="shared" si="25"/>
        <v>1.5000000000000003E-11</v>
      </c>
      <c r="F108" s="249">
        <f t="shared" si="24"/>
        <v>1.0294117647058823E-5</v>
      </c>
      <c r="G108" s="250">
        <f t="shared" si="23"/>
        <v>1.0294117647058823E-5</v>
      </c>
      <c r="H108" s="227">
        <f t="shared" si="26"/>
        <v>4.5088235294117644E-5</v>
      </c>
      <c r="I108" s="229">
        <f t="shared" si="27"/>
        <v>4.5088235294117644E-5</v>
      </c>
      <c r="J108" s="246"/>
      <c r="L108" s="228"/>
    </row>
    <row r="109" spans="1:12" s="219" customFormat="1" x14ac:dyDescent="0.2">
      <c r="A109" s="617"/>
      <c r="B109" s="225" t="s">
        <v>171</v>
      </c>
      <c r="C109" s="226">
        <f>(0.000015)*$H$7/1000</f>
        <v>2.1000750000000001E-9</v>
      </c>
      <c r="D109" s="226">
        <v>2.4000000000000001E-5</v>
      </c>
      <c r="E109" s="249">
        <f t="shared" si="25"/>
        <v>7.5000000000000025E-11</v>
      </c>
      <c r="F109" s="249">
        <f t="shared" si="24"/>
        <v>1.1764705882352942E-7</v>
      </c>
      <c r="G109" s="250">
        <f t="shared" si="23"/>
        <v>1.1764705882352942E-7</v>
      </c>
      <c r="H109" s="227">
        <f>G109*8760/2000</f>
        <v>5.1529411764705885E-7</v>
      </c>
      <c r="I109" s="229">
        <f>G109*8760/2000</f>
        <v>5.1529411764705885E-7</v>
      </c>
      <c r="J109" s="246"/>
      <c r="L109" s="228"/>
    </row>
    <row r="110" spans="1:12" s="219" customFormat="1" x14ac:dyDescent="0.2">
      <c r="A110" s="617"/>
      <c r="B110" s="233" t="s">
        <v>172</v>
      </c>
      <c r="C110" s="226"/>
      <c r="D110" s="226"/>
      <c r="E110" s="310">
        <f>SUM(E72:E109)</f>
        <v>1.2433362594264491E-3</v>
      </c>
      <c r="F110" s="310">
        <f>SUM(F72:F109)</f>
        <v>9.2696421568627448E-3</v>
      </c>
      <c r="G110" s="234">
        <f>MAX(E110:F110)</f>
        <v>9.2696421568627448E-3</v>
      </c>
      <c r="H110" s="234">
        <f>G110*8760/2000</f>
        <v>4.0601032647058825E-2</v>
      </c>
      <c r="I110" s="235">
        <f t="shared" ref="I110" si="28">G110*8760/2000</f>
        <v>4.0601032647058825E-2</v>
      </c>
      <c r="J110" s="246"/>
      <c r="L110" s="228"/>
    </row>
    <row r="111" spans="1:12" s="219" customFormat="1" x14ac:dyDescent="0.2">
      <c r="A111" s="617"/>
      <c r="B111" s="233" t="s">
        <v>173</v>
      </c>
      <c r="C111" s="226">
        <f>(0.000009)*$H$7/1000</f>
        <v>1.2600450000000001E-9</v>
      </c>
      <c r="D111" s="226">
        <v>5.0000000000000001E-4</v>
      </c>
      <c r="E111" s="249">
        <f>C111*$B$69</f>
        <v>4.5000000000000013E-11</v>
      </c>
      <c r="F111" s="249">
        <f>D111*$B$70</f>
        <v>2.4509803921568628E-6</v>
      </c>
      <c r="G111" s="227">
        <f t="shared" ref="G111:G121" si="29">MAX(E111:F111)</f>
        <v>2.4509803921568628E-6</v>
      </c>
      <c r="H111" s="227">
        <f>G111*8760/2000</f>
        <v>1.073529411764706E-5</v>
      </c>
      <c r="I111" s="236">
        <f>G111*8760/2000</f>
        <v>1.073529411764706E-5</v>
      </c>
      <c r="J111" s="228"/>
      <c r="L111" s="228"/>
    </row>
    <row r="112" spans="1:12" s="219" customFormat="1" x14ac:dyDescent="0.2">
      <c r="A112" s="617"/>
      <c r="B112" s="233" t="s">
        <v>174</v>
      </c>
      <c r="C112" s="226">
        <v>2</v>
      </c>
      <c r="D112" s="226">
        <v>7.6</v>
      </c>
      <c r="E112" s="249">
        <f t="shared" ref="E112:E121" si="30">C112*$B$69</f>
        <v>7.1426020499267898E-2</v>
      </c>
      <c r="F112" s="249">
        <f t="shared" ref="F112:F121" si="31">D112*$B$70</f>
        <v>3.7254901960784313E-2</v>
      </c>
      <c r="G112" s="234">
        <f>MAX(E112:F112)</f>
        <v>7.1426020499267898E-2</v>
      </c>
      <c r="H112" s="234">
        <f>G112*8760/2000</f>
        <v>0.31284596978679335</v>
      </c>
      <c r="I112" s="235">
        <f t="shared" si="27"/>
        <v>0.31284596978679335</v>
      </c>
      <c r="J112" s="228"/>
      <c r="L112" s="228"/>
    </row>
    <row r="113" spans="1:18" s="219" customFormat="1" ht="14.25" x14ac:dyDescent="0.25">
      <c r="A113" s="617"/>
      <c r="B113" s="233" t="s">
        <v>17</v>
      </c>
      <c r="C113" s="226">
        <v>1</v>
      </c>
      <c r="D113" s="226">
        <v>7.6</v>
      </c>
      <c r="E113" s="249">
        <f t="shared" si="30"/>
        <v>3.5713010249633949E-2</v>
      </c>
      <c r="F113" s="249">
        <f t="shared" si="31"/>
        <v>3.7254901960784313E-2</v>
      </c>
      <c r="G113" s="234">
        <f>MAX(E113:F113)</f>
        <v>3.7254901960784313E-2</v>
      </c>
      <c r="H113" s="234">
        <f>G113*8760/2000</f>
        <v>0.16317647058823531</v>
      </c>
      <c r="I113" s="235">
        <f>G113*8760/2000</f>
        <v>0.16317647058823531</v>
      </c>
      <c r="J113" s="228"/>
      <c r="L113" s="228"/>
    </row>
    <row r="114" spans="1:18" s="219" customFormat="1" ht="14.25" x14ac:dyDescent="0.25">
      <c r="A114" s="617"/>
      <c r="B114" s="233" t="s">
        <v>16</v>
      </c>
      <c r="C114" s="226">
        <v>0.25</v>
      </c>
      <c r="D114" s="226">
        <v>7.6</v>
      </c>
      <c r="E114" s="249">
        <f t="shared" si="30"/>
        <v>8.9282525624084872E-3</v>
      </c>
      <c r="F114" s="249">
        <f t="shared" si="31"/>
        <v>3.7254901960784313E-2</v>
      </c>
      <c r="G114" s="234">
        <f>E114</f>
        <v>8.9282525624084872E-3</v>
      </c>
      <c r="H114" s="234">
        <f t="shared" ref="H114:H121" si="32">G114*8760/2000</f>
        <v>3.9105746223349169E-2</v>
      </c>
      <c r="I114" s="235">
        <f t="shared" ref="I114:I121" si="33">G114*8760/2000</f>
        <v>3.9105746223349169E-2</v>
      </c>
      <c r="J114" s="228"/>
      <c r="L114" s="228"/>
    </row>
    <row r="115" spans="1:18" s="219" customFormat="1" ht="14.25" x14ac:dyDescent="0.25">
      <c r="A115" s="617"/>
      <c r="B115" s="233" t="s">
        <v>253</v>
      </c>
      <c r="C115" s="226">
        <f>142*L69</f>
        <v>71</v>
      </c>
      <c r="D115" s="226">
        <v>0.6</v>
      </c>
      <c r="E115" s="249">
        <f t="shared" si="30"/>
        <v>2.5356237277240106</v>
      </c>
      <c r="F115" s="249">
        <f t="shared" si="31"/>
        <v>2.9411764705882353E-3</v>
      </c>
      <c r="G115" s="234">
        <f>MAX(E115:F115)</f>
        <v>2.5356237277240106</v>
      </c>
      <c r="H115" s="234">
        <f t="shared" si="32"/>
        <v>11.106031927431166</v>
      </c>
      <c r="I115" s="235">
        <f t="shared" si="33"/>
        <v>11.106031927431166</v>
      </c>
      <c r="J115" s="228"/>
      <c r="L115" s="228"/>
    </row>
    <row r="116" spans="1:18" s="219" customFormat="1" x14ac:dyDescent="0.2">
      <c r="A116" s="617"/>
      <c r="B116" s="233" t="s">
        <v>178</v>
      </c>
      <c r="C116" s="226">
        <v>20</v>
      </c>
      <c r="D116" s="226">
        <v>100</v>
      </c>
      <c r="E116" s="249">
        <f t="shared" si="30"/>
        <v>0.71426020499267895</v>
      </c>
      <c r="F116" s="249">
        <f t="shared" si="31"/>
        <v>0.49019607843137253</v>
      </c>
      <c r="G116" s="234">
        <f t="shared" si="29"/>
        <v>0.71426020499267895</v>
      </c>
      <c r="H116" s="234">
        <f t="shared" si="32"/>
        <v>3.1284596978679335</v>
      </c>
      <c r="I116" s="235">
        <f t="shared" si="33"/>
        <v>3.1284596978679335</v>
      </c>
      <c r="J116" s="228"/>
      <c r="L116" s="228"/>
    </row>
    <row r="117" spans="1:18" s="219" customFormat="1" x14ac:dyDescent="0.2">
      <c r="A117" s="617"/>
      <c r="B117" s="233" t="s">
        <v>15</v>
      </c>
      <c r="C117" s="226">
        <v>0.34</v>
      </c>
      <c r="D117" s="226">
        <v>5.5</v>
      </c>
      <c r="E117" s="249">
        <f t="shared" si="30"/>
        <v>1.2142423484875544E-2</v>
      </c>
      <c r="F117" s="249">
        <f t="shared" si="31"/>
        <v>2.6960784313725492E-2</v>
      </c>
      <c r="G117" s="234">
        <f>MAX(E117:F117)</f>
        <v>2.6960784313725492E-2</v>
      </c>
      <c r="H117" s="234">
        <f t="shared" si="32"/>
        <v>0.11808823529411765</v>
      </c>
      <c r="I117" s="235">
        <f t="shared" si="33"/>
        <v>0.11808823529411765</v>
      </c>
      <c r="J117" s="228"/>
      <c r="L117" s="228"/>
    </row>
    <row r="118" spans="1:18" s="219" customFormat="1" x14ac:dyDescent="0.2">
      <c r="A118" s="617"/>
      <c r="B118" s="233" t="s">
        <v>215</v>
      </c>
      <c r="C118" s="230">
        <v>5</v>
      </c>
      <c r="D118" s="226">
        <v>84</v>
      </c>
      <c r="E118" s="249">
        <f t="shared" si="30"/>
        <v>0.17856505124816974</v>
      </c>
      <c r="F118" s="249">
        <f t="shared" si="31"/>
        <v>0.41176470588235292</v>
      </c>
      <c r="G118" s="234">
        <f>MAX(E118:F118)</f>
        <v>0.41176470588235292</v>
      </c>
      <c r="H118" s="234">
        <f t="shared" si="32"/>
        <v>1.8035294117647058</v>
      </c>
      <c r="I118" s="235">
        <f>G118*8760/2000</f>
        <v>1.8035294117647058</v>
      </c>
      <c r="J118" s="228"/>
      <c r="L118" s="228"/>
    </row>
    <row r="119" spans="1:18" s="219" customFormat="1" ht="14.25" x14ac:dyDescent="0.25">
      <c r="A119" s="617"/>
      <c r="B119" s="233" t="s">
        <v>273</v>
      </c>
      <c r="C119" s="226">
        <v>22300</v>
      </c>
      <c r="D119" s="226">
        <v>120000</v>
      </c>
      <c r="E119" s="249">
        <f t="shared" si="30"/>
        <v>796.40012856683711</v>
      </c>
      <c r="F119" s="249">
        <f t="shared" si="31"/>
        <v>588.23529411764707</v>
      </c>
      <c r="G119" s="255">
        <f>MAX(E119:F119)</f>
        <v>796.40012856683711</v>
      </c>
      <c r="H119" s="239">
        <f>G119*8760/2000</f>
        <v>3488.2325631227463</v>
      </c>
      <c r="I119" s="240">
        <f>G119*8760/2000</f>
        <v>3488.2325631227463</v>
      </c>
      <c r="J119" s="228"/>
      <c r="K119" s="256"/>
      <c r="L119" s="173"/>
    </row>
    <row r="120" spans="1:18" s="219" customFormat="1" ht="14.25" x14ac:dyDescent="0.25">
      <c r="A120" s="617"/>
      <c r="B120" s="233" t="s">
        <v>274</v>
      </c>
      <c r="C120" s="226">
        <v>5.1999999999999998E-2</v>
      </c>
      <c r="D120" s="226">
        <v>2.2999999999999998</v>
      </c>
      <c r="E120" s="249">
        <f t="shared" si="30"/>
        <v>1.8570765329809652E-3</v>
      </c>
      <c r="F120" s="249">
        <f t="shared" si="31"/>
        <v>1.1274509803921567E-2</v>
      </c>
      <c r="G120" s="255">
        <f>MAX(E120:F120)</f>
        <v>1.1274509803921567E-2</v>
      </c>
      <c r="H120" s="255">
        <f t="shared" si="32"/>
        <v>4.9382352941176461E-2</v>
      </c>
      <c r="I120" s="257">
        <f t="shared" si="33"/>
        <v>4.9382352941176461E-2</v>
      </c>
      <c r="J120" s="228"/>
      <c r="K120" s="256"/>
      <c r="L120" s="228"/>
    </row>
    <row r="121" spans="1:18" s="219" customFormat="1" ht="14.25" x14ac:dyDescent="0.25">
      <c r="A121" s="617"/>
      <c r="B121" s="233" t="s">
        <v>275</v>
      </c>
      <c r="C121" s="226">
        <v>0.26</v>
      </c>
      <c r="D121" s="226">
        <v>2.2000000000000002</v>
      </c>
      <c r="E121" s="249">
        <f t="shared" si="30"/>
        <v>9.2853826649048274E-3</v>
      </c>
      <c r="F121" s="249">
        <f t="shared" si="31"/>
        <v>1.0784313725490198E-2</v>
      </c>
      <c r="G121" s="255">
        <f t="shared" si="29"/>
        <v>1.0784313725490198E-2</v>
      </c>
      <c r="H121" s="255">
        <f t="shared" si="32"/>
        <v>4.7235294117647063E-2</v>
      </c>
      <c r="I121" s="257">
        <f t="shared" si="33"/>
        <v>4.7235294117647063E-2</v>
      </c>
      <c r="J121" s="228"/>
      <c r="K121" s="256"/>
      <c r="L121" s="228"/>
    </row>
    <row r="122" spans="1:18" s="219" customFormat="1" x14ac:dyDescent="0.2">
      <c r="A122" s="617"/>
      <c r="B122" s="233" t="s">
        <v>184</v>
      </c>
      <c r="C122" s="258"/>
      <c r="D122" s="258"/>
      <c r="E122" s="258">
        <f>SUM(E119:E121)</f>
        <v>796.41127102603491</v>
      </c>
      <c r="F122" s="258">
        <f>SUM(F119:F121)</f>
        <v>588.25735294117646</v>
      </c>
      <c r="G122" s="255">
        <f>SUM(G119:G121)</f>
        <v>796.4221873903665</v>
      </c>
      <c r="H122" s="239">
        <f>SUM(H119:H121)</f>
        <v>3488.3291807698056</v>
      </c>
      <c r="I122" s="240">
        <f>SUM(I119:I121)</f>
        <v>3488.3291807698056</v>
      </c>
      <c r="J122" s="228"/>
      <c r="K122" s="256"/>
      <c r="L122" s="173"/>
    </row>
    <row r="123" spans="1:18" s="219" customFormat="1" ht="14.25" x14ac:dyDescent="0.25">
      <c r="A123" s="617"/>
      <c r="B123" s="233" t="s">
        <v>254</v>
      </c>
      <c r="C123" s="230"/>
      <c r="D123" s="226"/>
      <c r="E123" s="226">
        <f>E119+(E120*21)+(E121*310)</f>
        <v>799.31759580015023</v>
      </c>
      <c r="F123" s="226">
        <f>F119+(F120*21)+(F121*310)</f>
        <v>591.81519607843143</v>
      </c>
      <c r="G123" s="255">
        <f>G119+(G120*21)+(G121*310)</f>
        <v>799.98003052762147</v>
      </c>
      <c r="H123" s="239">
        <f>H119+(H120*21)+(H121*310)</f>
        <v>3503.9125337109817</v>
      </c>
      <c r="I123" s="240">
        <f>I119+(I120*21)+(I121*310)</f>
        <v>3503.9125337109817</v>
      </c>
      <c r="J123" s="228"/>
      <c r="K123" s="256"/>
      <c r="L123" s="173"/>
    </row>
    <row r="124" spans="1:18" s="216" customFormat="1" ht="18" x14ac:dyDescent="0.25">
      <c r="A124" s="616" t="s">
        <v>20</v>
      </c>
      <c r="B124" s="616"/>
      <c r="C124" s="616"/>
      <c r="D124" s="616"/>
      <c r="E124" s="616"/>
      <c r="F124" s="616"/>
      <c r="G124" s="616"/>
      <c r="H124" s="616"/>
      <c r="I124" s="616"/>
      <c r="J124" s="616"/>
      <c r="K124" s="616"/>
      <c r="L124" s="616"/>
      <c r="M124" s="616"/>
    </row>
    <row r="125" spans="1:18" s="216" customFormat="1" ht="15.75" x14ac:dyDescent="0.25">
      <c r="A125" s="615" t="s">
        <v>107</v>
      </c>
      <c r="B125" s="615"/>
      <c r="C125" s="615"/>
      <c r="D125" s="615"/>
      <c r="E125" s="615"/>
      <c r="F125" s="615"/>
      <c r="G125" s="615"/>
      <c r="H125" s="615"/>
      <c r="I125" s="615"/>
      <c r="J125" s="615"/>
      <c r="K125" s="615"/>
      <c r="L125" s="615"/>
      <c r="M125" s="615"/>
    </row>
    <row r="126" spans="1:18" s="216" customFormat="1" ht="15.75" x14ac:dyDescent="0.25">
      <c r="A126" s="615" t="s">
        <v>373</v>
      </c>
      <c r="B126" s="615"/>
      <c r="C126" s="615"/>
      <c r="D126" s="615"/>
      <c r="E126" s="615"/>
      <c r="F126" s="615"/>
      <c r="G126" s="615"/>
      <c r="H126" s="615"/>
      <c r="I126" s="615"/>
      <c r="J126" s="615"/>
      <c r="K126" s="615"/>
      <c r="L126" s="615"/>
      <c r="M126" s="615"/>
    </row>
    <row r="127" spans="1:18" s="216" customFormat="1" ht="15.75" customHeight="1" x14ac:dyDescent="0.2">
      <c r="A127" s="217" t="s">
        <v>116</v>
      </c>
      <c r="B127" s="259"/>
      <c r="C127" s="259"/>
      <c r="D127" s="259"/>
      <c r="E127" s="259"/>
      <c r="F127" s="259"/>
      <c r="G127" s="259"/>
      <c r="H127" s="259"/>
      <c r="I127" s="259"/>
      <c r="J127" s="259"/>
      <c r="K127" s="259"/>
      <c r="L127" s="259"/>
      <c r="M127" s="259"/>
    </row>
    <row r="128" spans="1:18" s="219" customFormat="1" x14ac:dyDescent="0.2">
      <c r="A128" s="216" t="s">
        <v>117</v>
      </c>
      <c r="B128" s="216">
        <v>17.579999999999998</v>
      </c>
      <c r="C128" s="216" t="s">
        <v>63</v>
      </c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</row>
    <row r="129" spans="1:18" s="219" customFormat="1" x14ac:dyDescent="0.2">
      <c r="A129" s="216" t="s">
        <v>122</v>
      </c>
      <c r="B129" s="216">
        <f>B128/H129/1000</f>
        <v>0.12556694403771293</v>
      </c>
      <c r="C129" s="216" t="s">
        <v>119</v>
      </c>
      <c r="D129" s="216"/>
      <c r="E129" s="216" t="s">
        <v>123</v>
      </c>
      <c r="F129" s="216"/>
      <c r="G129" s="216"/>
      <c r="H129" s="216">
        <f>140005/1000000</f>
        <v>0.14000499999999999</v>
      </c>
      <c r="I129" s="216" t="s">
        <v>121</v>
      </c>
      <c r="J129" s="216"/>
      <c r="K129" s="216" t="s">
        <v>259</v>
      </c>
      <c r="L129" s="221">
        <v>0.5</v>
      </c>
      <c r="M129" s="216" t="s">
        <v>258</v>
      </c>
      <c r="N129" s="216"/>
      <c r="O129" s="216"/>
      <c r="P129" s="216"/>
      <c r="Q129" s="216"/>
      <c r="R129" s="216"/>
    </row>
    <row r="130" spans="1:18" s="219" customFormat="1" x14ac:dyDescent="0.2">
      <c r="A130" s="216" t="s">
        <v>124</v>
      </c>
      <c r="B130" s="216">
        <f>B128/H130</f>
        <v>1.7235294117647057E-2</v>
      </c>
      <c r="C130" s="216" t="s">
        <v>125</v>
      </c>
      <c r="D130" s="216"/>
      <c r="E130" s="216" t="s">
        <v>126</v>
      </c>
      <c r="F130" s="216"/>
      <c r="G130" s="216"/>
      <c r="H130" s="216">
        <v>1020</v>
      </c>
      <c r="I130" s="216" t="s">
        <v>127</v>
      </c>
      <c r="J130" s="216"/>
      <c r="K130" s="216"/>
      <c r="L130" s="216"/>
      <c r="M130" s="216"/>
      <c r="N130" s="216"/>
      <c r="O130" s="216"/>
      <c r="P130" s="216"/>
      <c r="Q130" s="216"/>
      <c r="R130" s="216"/>
    </row>
    <row r="131" spans="1:18" s="223" customFormat="1" ht="63.75" x14ac:dyDescent="0.2">
      <c r="A131" s="222" t="s">
        <v>128</v>
      </c>
      <c r="B131" s="222" t="s">
        <v>19</v>
      </c>
      <c r="C131" s="222" t="s">
        <v>129</v>
      </c>
      <c r="D131" s="222" t="s">
        <v>130</v>
      </c>
      <c r="E131" s="222" t="s">
        <v>132</v>
      </c>
      <c r="F131" s="222" t="s">
        <v>133</v>
      </c>
      <c r="G131" s="222" t="s">
        <v>135</v>
      </c>
      <c r="H131" s="222" t="s">
        <v>136</v>
      </c>
      <c r="I131" s="222" t="s">
        <v>137</v>
      </c>
    </row>
    <row r="132" spans="1:18" s="219" customFormat="1" x14ac:dyDescent="0.2">
      <c r="A132" s="617" t="s">
        <v>249</v>
      </c>
      <c r="B132" s="225" t="s">
        <v>139</v>
      </c>
      <c r="C132" s="226">
        <v>1.7999999999999999E-6</v>
      </c>
      <c r="D132" s="226">
        <v>2.1100000000000001E-5</v>
      </c>
      <c r="E132" s="226">
        <f>C132*$B$130</f>
        <v>3.1023529411764698E-8</v>
      </c>
      <c r="F132" s="226">
        <f>D132*$B$129</f>
        <v>2.6494625191957428E-6</v>
      </c>
      <c r="G132" s="227">
        <f t="shared" ref="G132:G169" si="34">MAX(E132:F132)</f>
        <v>2.6494625191957428E-6</v>
      </c>
      <c r="H132" s="227">
        <f>G132*8760/2000</f>
        <v>1.1604645834077355E-5</v>
      </c>
      <c r="I132" s="227">
        <f>G132*8760/2000</f>
        <v>1.1604645834077355E-5</v>
      </c>
    </row>
    <row r="133" spans="1:18" s="219" customFormat="1" x14ac:dyDescent="0.2">
      <c r="A133" s="617"/>
      <c r="B133" s="225" t="s">
        <v>140</v>
      </c>
      <c r="C133" s="226">
        <v>1.7999999999999999E-6</v>
      </c>
      <c r="D133" s="226">
        <v>2.53E-7</v>
      </c>
      <c r="E133" s="226">
        <f t="shared" ref="E133:E181" si="35">C133*$B$130</f>
        <v>3.1023529411764698E-8</v>
      </c>
      <c r="F133" s="226">
        <f t="shared" ref="F133:F181" si="36">D133*$B$129</f>
        <v>3.1768436841541372E-8</v>
      </c>
      <c r="G133" s="227">
        <f t="shared" si="34"/>
        <v>3.1768436841541372E-8</v>
      </c>
      <c r="H133" s="227">
        <f t="shared" ref="H133:H181" si="37">G133*8760/2000</f>
        <v>1.3914575336595121E-7</v>
      </c>
      <c r="I133" s="227">
        <f t="shared" ref="I133:I174" si="38">G133*8760/2000</f>
        <v>1.3914575336595121E-7</v>
      </c>
    </row>
    <row r="134" spans="1:18" s="219" customFormat="1" x14ac:dyDescent="0.2">
      <c r="A134" s="617"/>
      <c r="B134" s="225" t="s">
        <v>141</v>
      </c>
      <c r="C134" s="226">
        <v>2.3999999999999999E-6</v>
      </c>
      <c r="D134" s="226">
        <v>1.22E-6</v>
      </c>
      <c r="E134" s="226">
        <f t="shared" si="35"/>
        <v>4.1364705882352933E-8</v>
      </c>
      <c r="F134" s="226">
        <f t="shared" si="36"/>
        <v>1.5319167172600976E-7</v>
      </c>
      <c r="G134" s="227">
        <f t="shared" si="34"/>
        <v>1.5319167172600976E-7</v>
      </c>
      <c r="H134" s="227">
        <f t="shared" si="37"/>
        <v>6.7097952215992274E-7</v>
      </c>
      <c r="I134" s="227">
        <f t="shared" si="38"/>
        <v>6.7097952215992274E-7</v>
      </c>
    </row>
    <row r="135" spans="1:18" s="219" customFormat="1" x14ac:dyDescent="0.2">
      <c r="A135" s="617"/>
      <c r="B135" s="225" t="s">
        <v>186</v>
      </c>
      <c r="C135" s="226">
        <v>1.7999999999999999E-6</v>
      </c>
      <c r="D135" s="226">
        <v>4.0099999999999997E-6</v>
      </c>
      <c r="E135" s="226">
        <f t="shared" si="35"/>
        <v>3.1023529411764698E-8</v>
      </c>
      <c r="F135" s="226">
        <f t="shared" si="36"/>
        <v>5.0352344559122884E-7</v>
      </c>
      <c r="G135" s="227">
        <f t="shared" si="34"/>
        <v>5.0352344559122884E-7</v>
      </c>
      <c r="H135" s="227">
        <f t="shared" si="37"/>
        <v>2.205432691689582E-6</v>
      </c>
      <c r="I135" s="227">
        <f t="shared" si="38"/>
        <v>2.205432691689582E-6</v>
      </c>
    </row>
    <row r="136" spans="1:18" s="219" customFormat="1" x14ac:dyDescent="0.2">
      <c r="A136" s="617"/>
      <c r="B136" s="225" t="s">
        <v>143</v>
      </c>
      <c r="C136" s="226">
        <v>2.0999999999999999E-3</v>
      </c>
      <c r="D136" s="226">
        <v>2.14E-4</v>
      </c>
      <c r="E136" s="226">
        <f t="shared" si="35"/>
        <v>3.6194117647058815E-5</v>
      </c>
      <c r="F136" s="226">
        <f t="shared" si="36"/>
        <v>2.6871326024070568E-5</v>
      </c>
      <c r="G136" s="227">
        <f t="shared" si="34"/>
        <v>3.6194117647058815E-5</v>
      </c>
      <c r="H136" s="227">
        <f t="shared" si="37"/>
        <v>1.5853023529411762E-4</v>
      </c>
      <c r="I136" s="227">
        <f t="shared" si="38"/>
        <v>1.5853023529411762E-4</v>
      </c>
    </row>
    <row r="137" spans="1:18" s="219" customFormat="1" x14ac:dyDescent="0.2">
      <c r="A137" s="617"/>
      <c r="B137" s="251" t="s">
        <v>144</v>
      </c>
      <c r="C137" s="226">
        <v>1.1999999999999999E-6</v>
      </c>
      <c r="D137" s="226"/>
      <c r="E137" s="226">
        <f t="shared" si="35"/>
        <v>2.0682352941176466E-8</v>
      </c>
      <c r="F137" s="226"/>
      <c r="G137" s="227">
        <f t="shared" si="34"/>
        <v>2.0682352941176466E-8</v>
      </c>
      <c r="H137" s="227">
        <f t="shared" si="37"/>
        <v>9.0588705882352931E-8</v>
      </c>
      <c r="I137" s="227">
        <f t="shared" si="38"/>
        <v>9.0588705882352931E-8</v>
      </c>
    </row>
    <row r="138" spans="1:18" s="219" customFormat="1" x14ac:dyDescent="0.2">
      <c r="A138" s="617"/>
      <c r="B138" s="225" t="s">
        <v>145</v>
      </c>
      <c r="C138" s="226">
        <v>1.7999999999999999E-6</v>
      </c>
      <c r="D138" s="226">
        <v>1.48E-6</v>
      </c>
      <c r="E138" s="226">
        <f t="shared" si="35"/>
        <v>3.1023529411764698E-8</v>
      </c>
      <c r="F138" s="226">
        <f t="shared" si="36"/>
        <v>1.8583907717581515E-7</v>
      </c>
      <c r="G138" s="227">
        <f t="shared" si="34"/>
        <v>1.8583907717581515E-7</v>
      </c>
      <c r="H138" s="227">
        <f t="shared" si="37"/>
        <v>8.1397515803007036E-7</v>
      </c>
      <c r="I138" s="227">
        <f t="shared" si="38"/>
        <v>8.1397515803007036E-7</v>
      </c>
    </row>
    <row r="139" spans="1:18" s="219" customFormat="1" x14ac:dyDescent="0.2">
      <c r="A139" s="617"/>
      <c r="B139" s="225" t="s">
        <v>146</v>
      </c>
      <c r="C139" s="226">
        <v>1.1999999999999999E-6</v>
      </c>
      <c r="D139" s="226">
        <v>2.26E-6</v>
      </c>
      <c r="E139" s="226">
        <f t="shared" si="35"/>
        <v>2.0682352941176466E-8</v>
      </c>
      <c r="F139" s="226">
        <f t="shared" si="36"/>
        <v>2.837812935252312E-7</v>
      </c>
      <c r="G139" s="227">
        <f t="shared" si="34"/>
        <v>2.837812935252312E-7</v>
      </c>
      <c r="H139" s="227">
        <f t="shared" si="37"/>
        <v>1.2429620656405125E-6</v>
      </c>
      <c r="I139" s="227">
        <f t="shared" si="38"/>
        <v>1.2429620656405125E-6</v>
      </c>
    </row>
    <row r="140" spans="1:18" s="219" customFormat="1" x14ac:dyDescent="0.2">
      <c r="A140" s="617"/>
      <c r="B140" s="225" t="s">
        <v>147</v>
      </c>
      <c r="C140" s="226">
        <v>1.7999999999999999E-6</v>
      </c>
      <c r="D140" s="226">
        <v>1.48E-6</v>
      </c>
      <c r="E140" s="226">
        <f t="shared" si="35"/>
        <v>3.1023529411764698E-8</v>
      </c>
      <c r="F140" s="226">
        <f t="shared" si="36"/>
        <v>1.8583907717581515E-7</v>
      </c>
      <c r="G140" s="227">
        <f t="shared" si="34"/>
        <v>1.8583907717581515E-7</v>
      </c>
      <c r="H140" s="227">
        <f t="shared" si="37"/>
        <v>8.1397515803007036E-7</v>
      </c>
      <c r="I140" s="227">
        <f t="shared" si="38"/>
        <v>8.1397515803007036E-7</v>
      </c>
    </row>
    <row r="141" spans="1:18" s="219" customFormat="1" x14ac:dyDescent="0.2">
      <c r="A141" s="617"/>
      <c r="B141" s="225" t="s">
        <v>148</v>
      </c>
      <c r="C141" s="226">
        <v>1.7999999999999999E-6</v>
      </c>
      <c r="D141" s="226">
        <v>2.3800000000000001E-6</v>
      </c>
      <c r="E141" s="226">
        <f t="shared" si="35"/>
        <v>3.1023529411764698E-8</v>
      </c>
      <c r="F141" s="226">
        <f t="shared" si="36"/>
        <v>2.9884932680975677E-7</v>
      </c>
      <c r="G141" s="227">
        <f t="shared" si="34"/>
        <v>2.9884932680975677E-7</v>
      </c>
      <c r="H141" s="227">
        <f t="shared" si="37"/>
        <v>1.3089600514267347E-6</v>
      </c>
      <c r="I141" s="227">
        <f t="shared" si="38"/>
        <v>1.3089600514267347E-6</v>
      </c>
    </row>
    <row r="142" spans="1:18" s="219" customFormat="1" x14ac:dyDescent="0.2">
      <c r="A142" s="617"/>
      <c r="B142" s="225" t="s">
        <v>149</v>
      </c>
      <c r="C142" s="226">
        <v>1.1999999999999999E-3</v>
      </c>
      <c r="D142" s="226">
        <v>1.6700000000000001E-6</v>
      </c>
      <c r="E142" s="226">
        <f t="shared" si="35"/>
        <v>2.0682352941176467E-5</v>
      </c>
      <c r="F142" s="226">
        <f t="shared" si="36"/>
        <v>2.096967965429806E-7</v>
      </c>
      <c r="G142" s="227">
        <f t="shared" si="34"/>
        <v>2.0682352941176467E-5</v>
      </c>
      <c r="H142" s="227">
        <f t="shared" si="37"/>
        <v>9.0588705882352929E-5</v>
      </c>
      <c r="I142" s="227">
        <f t="shared" si="38"/>
        <v>9.0588705882352929E-5</v>
      </c>
    </row>
    <row r="143" spans="1:18" s="219" customFormat="1" x14ac:dyDescent="0.2">
      <c r="A143" s="617"/>
      <c r="B143" s="225" t="s">
        <v>150</v>
      </c>
      <c r="C143" s="226">
        <v>1.1999999999999999E-3</v>
      </c>
      <c r="D143" s="226"/>
      <c r="E143" s="226">
        <f t="shared" si="35"/>
        <v>2.0682352941176467E-5</v>
      </c>
      <c r="F143" s="226"/>
      <c r="G143" s="227">
        <f t="shared" si="34"/>
        <v>2.0682352941176467E-5</v>
      </c>
      <c r="H143" s="227">
        <f t="shared" si="37"/>
        <v>9.0588705882352929E-5</v>
      </c>
      <c r="I143" s="227">
        <f t="shared" si="38"/>
        <v>9.0588705882352929E-5</v>
      </c>
    </row>
    <row r="144" spans="1:18" s="219" customFormat="1" x14ac:dyDescent="0.2">
      <c r="A144" s="617"/>
      <c r="B144" s="225" t="s">
        <v>242</v>
      </c>
      <c r="C144" s="226">
        <v>1.5999999999999999E-5</v>
      </c>
      <c r="D144" s="226"/>
      <c r="E144" s="226">
        <f t="shared" si="35"/>
        <v>2.7576470588235289E-7</v>
      </c>
      <c r="F144" s="226"/>
      <c r="G144" s="227">
        <f>MAX(E144:F144)</f>
        <v>2.7576470588235289E-7</v>
      </c>
      <c r="H144" s="227">
        <f t="shared" si="37"/>
        <v>1.2078494117647057E-6</v>
      </c>
      <c r="I144" s="227">
        <f t="shared" si="38"/>
        <v>1.2078494117647057E-6</v>
      </c>
    </row>
    <row r="145" spans="1:16" s="219" customFormat="1" x14ac:dyDescent="0.2">
      <c r="A145" s="617"/>
      <c r="B145" s="225" t="s">
        <v>151</v>
      </c>
      <c r="C145" s="226"/>
      <c r="D145" s="226">
        <v>6.3600000000000001E-5</v>
      </c>
      <c r="E145" s="226"/>
      <c r="F145" s="226">
        <f t="shared" si="36"/>
        <v>7.986057640798543E-6</v>
      </c>
      <c r="G145" s="227">
        <f t="shared" si="34"/>
        <v>7.986057640798543E-6</v>
      </c>
      <c r="H145" s="227">
        <f t="shared" si="37"/>
        <v>3.4978932466697616E-5</v>
      </c>
      <c r="I145" s="227">
        <f t="shared" si="38"/>
        <v>3.4978932466697616E-5</v>
      </c>
    </row>
    <row r="146" spans="1:16" s="219" customFormat="1" x14ac:dyDescent="0.2">
      <c r="A146" s="617"/>
      <c r="B146" s="225" t="s">
        <v>152</v>
      </c>
      <c r="C146" s="226">
        <v>3.0000000000000001E-6</v>
      </c>
      <c r="D146" s="226">
        <v>4.8400000000000002E-6</v>
      </c>
      <c r="E146" s="226">
        <f t="shared" si="35"/>
        <v>5.1705882352941174E-8</v>
      </c>
      <c r="F146" s="226">
        <f t="shared" si="36"/>
        <v>6.0774400914253066E-7</v>
      </c>
      <c r="G146" s="227">
        <f t="shared" si="34"/>
        <v>6.0774400914253066E-7</v>
      </c>
      <c r="H146" s="227">
        <f t="shared" si="37"/>
        <v>2.6619187600442843E-6</v>
      </c>
      <c r="I146" s="227">
        <f t="shared" si="38"/>
        <v>2.6619187600442843E-6</v>
      </c>
    </row>
    <row r="147" spans="1:16" s="219" customFormat="1" x14ac:dyDescent="0.2">
      <c r="A147" s="617"/>
      <c r="B147" s="225" t="s">
        <v>153</v>
      </c>
      <c r="C147" s="226">
        <v>2.7999999999999999E-6</v>
      </c>
      <c r="D147" s="226">
        <v>4.4700000000000004E-6</v>
      </c>
      <c r="E147" s="226">
        <f t="shared" si="35"/>
        <v>4.825882352941176E-8</v>
      </c>
      <c r="F147" s="226">
        <f t="shared" si="36"/>
        <v>5.612842398485768E-7</v>
      </c>
      <c r="G147" s="227">
        <f t="shared" si="34"/>
        <v>5.612842398485768E-7</v>
      </c>
      <c r="H147" s="227">
        <f t="shared" si="37"/>
        <v>2.4584249705367663E-6</v>
      </c>
      <c r="I147" s="227">
        <f t="shared" si="38"/>
        <v>2.4584249705367663E-6</v>
      </c>
    </row>
    <row r="148" spans="1:16" s="219" customFormat="1" x14ac:dyDescent="0.2">
      <c r="A148" s="617"/>
      <c r="B148" s="225" t="s">
        <v>154</v>
      </c>
      <c r="C148" s="226">
        <v>7.4999999999999997E-2</v>
      </c>
      <c r="D148" s="226">
        <v>3.3000000000000002E-2</v>
      </c>
      <c r="E148" s="226">
        <f t="shared" si="35"/>
        <v>1.2926470588235292E-3</v>
      </c>
      <c r="F148" s="226">
        <f t="shared" si="36"/>
        <v>4.1437091532445271E-3</v>
      </c>
      <c r="G148" s="227">
        <f t="shared" si="34"/>
        <v>4.1437091532445271E-3</v>
      </c>
      <c r="H148" s="227">
        <f t="shared" si="37"/>
        <v>1.8149446091211028E-2</v>
      </c>
      <c r="I148" s="227">
        <f t="shared" si="38"/>
        <v>1.8149446091211028E-2</v>
      </c>
      <c r="P148" s="228"/>
    </row>
    <row r="149" spans="1:16" s="219" customFormat="1" x14ac:dyDescent="0.2">
      <c r="A149" s="617"/>
      <c r="B149" s="225" t="s">
        <v>155</v>
      </c>
      <c r="C149" s="226">
        <v>1.8</v>
      </c>
      <c r="D149" s="226"/>
      <c r="E149" s="226">
        <f t="shared" si="35"/>
        <v>3.1023529411764703E-2</v>
      </c>
      <c r="F149" s="226"/>
      <c r="G149" s="227">
        <f t="shared" si="34"/>
        <v>3.1023529411764703E-2</v>
      </c>
      <c r="H149" s="227">
        <f t="shared" si="37"/>
        <v>0.13588305882352941</v>
      </c>
      <c r="I149" s="229">
        <f t="shared" si="38"/>
        <v>0.13588305882352941</v>
      </c>
    </row>
    <row r="150" spans="1:16" s="219" customFormat="1" x14ac:dyDescent="0.2">
      <c r="A150" s="617"/>
      <c r="B150" s="225" t="s">
        <v>156</v>
      </c>
      <c r="C150" s="226">
        <v>1.7999999999999999E-6</v>
      </c>
      <c r="D150" s="226">
        <v>2.1399999999999998E-6</v>
      </c>
      <c r="E150" s="226">
        <f t="shared" si="35"/>
        <v>3.1023529411764698E-8</v>
      </c>
      <c r="F150" s="226">
        <f t="shared" si="36"/>
        <v>2.6871326024070564E-7</v>
      </c>
      <c r="G150" s="227">
        <f t="shared" si="34"/>
        <v>2.6871326024070564E-7</v>
      </c>
      <c r="H150" s="227">
        <f t="shared" si="37"/>
        <v>1.1769640798542907E-6</v>
      </c>
      <c r="I150" s="229">
        <f t="shared" si="38"/>
        <v>1.1769640798542907E-6</v>
      </c>
    </row>
    <row r="151" spans="1:16" s="219" customFormat="1" x14ac:dyDescent="0.2">
      <c r="A151" s="617"/>
      <c r="B151" s="225" t="s">
        <v>244</v>
      </c>
      <c r="C151" s="226">
        <v>2.4000000000000001E-5</v>
      </c>
      <c r="D151" s="226"/>
      <c r="E151" s="226">
        <f t="shared" si="35"/>
        <v>4.1364705882352939E-7</v>
      </c>
      <c r="F151" s="226"/>
      <c r="G151" s="227">
        <f t="shared" si="34"/>
        <v>4.1364705882352939E-7</v>
      </c>
      <c r="H151" s="227">
        <f t="shared" si="37"/>
        <v>1.8117741176470586E-6</v>
      </c>
      <c r="I151" s="229">
        <f t="shared" si="38"/>
        <v>1.8117741176470586E-6</v>
      </c>
    </row>
    <row r="152" spans="1:16" s="219" customFormat="1" x14ac:dyDescent="0.2">
      <c r="A152" s="617"/>
      <c r="B152" s="225" t="s">
        <v>245</v>
      </c>
      <c r="C152" s="226">
        <v>1.7999999999999999E-6</v>
      </c>
      <c r="D152" s="226"/>
      <c r="E152" s="226">
        <f t="shared" si="35"/>
        <v>3.1023529411764698E-8</v>
      </c>
      <c r="F152" s="226"/>
      <c r="G152" s="227">
        <f t="shared" si="34"/>
        <v>3.1023529411764698E-8</v>
      </c>
      <c r="H152" s="227">
        <f t="shared" si="37"/>
        <v>1.3588305882352937E-7</v>
      </c>
      <c r="I152" s="229">
        <f t="shared" si="38"/>
        <v>1.3588305882352937E-7</v>
      </c>
    </row>
    <row r="153" spans="1:16" s="219" customFormat="1" x14ac:dyDescent="0.2">
      <c r="A153" s="617"/>
      <c r="B153" s="225" t="s">
        <v>157</v>
      </c>
      <c r="C153" s="226">
        <v>6.0999999999999997E-4</v>
      </c>
      <c r="D153" s="226">
        <v>1.1299999999999999E-3</v>
      </c>
      <c r="E153" s="226">
        <f t="shared" si="35"/>
        <v>1.0513529411764704E-5</v>
      </c>
      <c r="F153" s="226">
        <f t="shared" si="36"/>
        <v>1.4189064676261559E-4</v>
      </c>
      <c r="G153" s="227">
        <f t="shared" si="34"/>
        <v>1.4189064676261559E-4</v>
      </c>
      <c r="H153" s="227">
        <f t="shared" si="37"/>
        <v>6.2148103282025629E-4</v>
      </c>
      <c r="I153" s="229">
        <f t="shared" si="38"/>
        <v>6.2148103282025629E-4</v>
      </c>
    </row>
    <row r="154" spans="1:16" s="219" customFormat="1" x14ac:dyDescent="0.2">
      <c r="A154" s="617"/>
      <c r="B154" s="225" t="s">
        <v>158</v>
      </c>
      <c r="C154" s="226">
        <v>1.7E-5</v>
      </c>
      <c r="D154" s="226">
        <v>1.0499999999999999E-5</v>
      </c>
      <c r="E154" s="226">
        <f t="shared" si="35"/>
        <v>2.9299999999999999E-7</v>
      </c>
      <c r="F154" s="226">
        <f t="shared" si="36"/>
        <v>1.3184529123959856E-6</v>
      </c>
      <c r="G154" s="227">
        <f t="shared" si="34"/>
        <v>1.3184529123959856E-6</v>
      </c>
      <c r="H154" s="227">
        <f t="shared" si="37"/>
        <v>5.7748237562944172E-6</v>
      </c>
      <c r="I154" s="229">
        <f t="shared" si="38"/>
        <v>5.7748237562944172E-6</v>
      </c>
    </row>
    <row r="155" spans="1:16" s="219" customFormat="1" x14ac:dyDescent="0.2">
      <c r="A155" s="617"/>
      <c r="B155" s="225" t="s">
        <v>284</v>
      </c>
      <c r="C155" s="226"/>
      <c r="D155" s="226"/>
      <c r="E155" s="226"/>
      <c r="F155" s="226"/>
      <c r="G155" s="227"/>
      <c r="H155" s="227"/>
      <c r="I155" s="229"/>
    </row>
    <row r="156" spans="1:16" s="219" customFormat="1" x14ac:dyDescent="0.2">
      <c r="A156" s="617"/>
      <c r="B156" s="225" t="s">
        <v>159</v>
      </c>
      <c r="C156" s="226">
        <v>5.0000000000000004E-6</v>
      </c>
      <c r="D156" s="226">
        <v>4.25E-6</v>
      </c>
      <c r="E156" s="226">
        <f t="shared" si="35"/>
        <v>8.6176470588235293E-8</v>
      </c>
      <c r="F156" s="226">
        <f t="shared" si="36"/>
        <v>5.3365951216027997E-7</v>
      </c>
      <c r="G156" s="227">
        <f t="shared" si="34"/>
        <v>5.3365951216027997E-7</v>
      </c>
      <c r="H156" s="227">
        <f t="shared" si="37"/>
        <v>2.3374286632620264E-6</v>
      </c>
      <c r="I156" s="229">
        <f t="shared" si="38"/>
        <v>2.3374286632620264E-6</v>
      </c>
    </row>
    <row r="157" spans="1:16" s="219" customFormat="1" x14ac:dyDescent="0.2">
      <c r="A157" s="617"/>
      <c r="B157" s="225" t="s">
        <v>160</v>
      </c>
      <c r="C157" s="226">
        <v>3.3999999999999998E-3</v>
      </c>
      <c r="D157" s="226">
        <v>6.1999999999999998E-3</v>
      </c>
      <c r="E157" s="226">
        <f t="shared" si="35"/>
        <v>5.8599999999999988E-5</v>
      </c>
      <c r="F157" s="226">
        <f t="shared" si="36"/>
        <v>7.7851505303382009E-4</v>
      </c>
      <c r="G157" s="227">
        <f t="shared" si="34"/>
        <v>7.7851505303382009E-4</v>
      </c>
      <c r="H157" s="227">
        <f t="shared" si="37"/>
        <v>3.4098959322881321E-3</v>
      </c>
      <c r="I157" s="229">
        <f t="shared" si="38"/>
        <v>3.4098959322881321E-3</v>
      </c>
    </row>
    <row r="158" spans="1:16" s="219" customFormat="1" x14ac:dyDescent="0.2">
      <c r="A158" s="617"/>
      <c r="B158" s="225" t="s">
        <v>282</v>
      </c>
      <c r="C158" s="226"/>
      <c r="D158" s="226">
        <v>2.3599999999999999E-4</v>
      </c>
      <c r="E158" s="226"/>
      <c r="F158" s="226">
        <f t="shared" si="36"/>
        <v>2.9633798792900249E-5</v>
      </c>
      <c r="G158" s="227">
        <f t="shared" si="34"/>
        <v>2.9633798792900249E-5</v>
      </c>
      <c r="H158" s="227">
        <f t="shared" si="37"/>
        <v>1.2979603871290311E-4</v>
      </c>
      <c r="I158" s="229">
        <f t="shared" si="38"/>
        <v>1.2979603871290311E-4</v>
      </c>
    </row>
    <row r="159" spans="1:16" s="219" customFormat="1" x14ac:dyDescent="0.2">
      <c r="A159" s="617"/>
      <c r="B159" s="225" t="s">
        <v>161</v>
      </c>
      <c r="C159" s="226"/>
      <c r="D159" s="226">
        <v>1.0900000000000001E-4</v>
      </c>
      <c r="E159" s="226"/>
      <c r="F159" s="226">
        <f t="shared" si="36"/>
        <v>1.368679690011071E-5</v>
      </c>
      <c r="G159" s="227">
        <f t="shared" si="34"/>
        <v>1.368679690011071E-5</v>
      </c>
      <c r="H159" s="227">
        <f t="shared" si="37"/>
        <v>5.9948170422484911E-5</v>
      </c>
      <c r="I159" s="229">
        <f t="shared" si="38"/>
        <v>5.9948170422484911E-5</v>
      </c>
    </row>
    <row r="160" spans="1:16" s="219" customFormat="1" x14ac:dyDescent="0.2">
      <c r="A160" s="617"/>
      <c r="B160" s="225" t="s">
        <v>162</v>
      </c>
      <c r="C160" s="226">
        <v>5.2500000000000003E-3</v>
      </c>
      <c r="D160" s="226"/>
      <c r="E160" s="226">
        <f t="shared" si="35"/>
        <v>9.0485294117647052E-5</v>
      </c>
      <c r="F160" s="226">
        <f t="shared" si="36"/>
        <v>0</v>
      </c>
      <c r="G160" s="227">
        <f t="shared" si="34"/>
        <v>9.0485294117647052E-5</v>
      </c>
      <c r="H160" s="227">
        <f t="shared" si="37"/>
        <v>3.9632558823529408E-4</v>
      </c>
      <c r="I160" s="229">
        <f t="shared" si="38"/>
        <v>3.9632558823529408E-4</v>
      </c>
      <c r="P160" s="228"/>
    </row>
    <row r="161" spans="1:16" s="219" customFormat="1" x14ac:dyDescent="0.2">
      <c r="A161" s="617"/>
      <c r="B161" s="225" t="s">
        <v>163</v>
      </c>
      <c r="C161" s="226">
        <v>2.0000000000000001E-4</v>
      </c>
      <c r="D161" s="226">
        <f>(0.000004)*$H$7/1000</f>
        <v>5.6002E-10</v>
      </c>
      <c r="E161" s="226">
        <f t="shared" si="35"/>
        <v>3.4470588235294115E-6</v>
      </c>
      <c r="F161" s="226">
        <f t="shared" si="36"/>
        <v>7.0319999999999996E-11</v>
      </c>
      <c r="G161" s="227">
        <f t="shared" si="34"/>
        <v>3.4470588235294115E-6</v>
      </c>
      <c r="H161" s="227">
        <f t="shared" si="37"/>
        <v>1.5098117647058823E-5</v>
      </c>
      <c r="I161" s="229">
        <f t="shared" si="38"/>
        <v>1.5098117647058823E-5</v>
      </c>
      <c r="P161" s="228"/>
    </row>
    <row r="162" spans="1:16" s="219" customFormat="1" x14ac:dyDescent="0.2">
      <c r="A162" s="617"/>
      <c r="B162" s="225" t="s">
        <v>164</v>
      </c>
      <c r="C162" s="226">
        <v>1.2E-5</v>
      </c>
      <c r="D162" s="226">
        <f>(0.000003)*$H$7/1000</f>
        <v>4.2001499999999997E-10</v>
      </c>
      <c r="E162" s="226">
        <f t="shared" si="35"/>
        <v>2.068235294117647E-7</v>
      </c>
      <c r="F162" s="226">
        <f t="shared" si="36"/>
        <v>5.2739999999999991E-11</v>
      </c>
      <c r="G162" s="227">
        <f t="shared" si="34"/>
        <v>2.068235294117647E-7</v>
      </c>
      <c r="H162" s="227">
        <f t="shared" si="37"/>
        <v>9.0588705882352931E-7</v>
      </c>
      <c r="I162" s="229">
        <f t="shared" si="38"/>
        <v>9.0588705882352931E-7</v>
      </c>
      <c r="P162" s="228"/>
    </row>
    <row r="163" spans="1:16" s="219" customFormat="1" x14ac:dyDescent="0.2">
      <c r="A163" s="617"/>
      <c r="B163" s="225" t="s">
        <v>165</v>
      </c>
      <c r="C163" s="226">
        <v>1.1000000000000001E-3</v>
      </c>
      <c r="D163" s="226">
        <f>(0.000003)*$H$7/1000</f>
        <v>4.2001499999999997E-10</v>
      </c>
      <c r="E163" s="226">
        <f t="shared" si="35"/>
        <v>1.8958823529411765E-5</v>
      </c>
      <c r="F163" s="226">
        <f t="shared" si="36"/>
        <v>5.2739999999999991E-11</v>
      </c>
      <c r="G163" s="227">
        <f t="shared" si="34"/>
        <v>1.8958823529411765E-5</v>
      </c>
      <c r="H163" s="227">
        <f t="shared" si="37"/>
        <v>8.3039647058823544E-5</v>
      </c>
      <c r="I163" s="229">
        <f t="shared" si="38"/>
        <v>8.3039647058823544E-5</v>
      </c>
      <c r="P163" s="228"/>
    </row>
    <row r="164" spans="1:16" s="219" customFormat="1" x14ac:dyDescent="0.2">
      <c r="A164" s="617"/>
      <c r="B164" s="225" t="s">
        <v>166</v>
      </c>
      <c r="C164" s="226">
        <v>1.4E-3</v>
      </c>
      <c r="D164" s="226">
        <f>(0.000003)*$H$7/1000</f>
        <v>4.2001499999999997E-10</v>
      </c>
      <c r="E164" s="226">
        <f t="shared" si="35"/>
        <v>2.4129411764705878E-5</v>
      </c>
      <c r="F164" s="226">
        <f t="shared" si="36"/>
        <v>5.2739999999999991E-11</v>
      </c>
      <c r="G164" s="227">
        <f>MAX(E164:F164)</f>
        <v>2.4129411764705878E-5</v>
      </c>
      <c r="H164" s="227">
        <f t="shared" si="37"/>
        <v>1.0568682352941176E-4</v>
      </c>
      <c r="I164" s="229">
        <f t="shared" si="38"/>
        <v>1.0568682352941176E-4</v>
      </c>
      <c r="P164" s="228"/>
    </row>
    <row r="165" spans="1:16" s="219" customFormat="1" x14ac:dyDescent="0.2">
      <c r="A165" s="617"/>
      <c r="B165" s="225" t="s">
        <v>167</v>
      </c>
      <c r="C165" s="226">
        <v>8.3999999999999995E-5</v>
      </c>
      <c r="D165" s="226"/>
      <c r="E165" s="226">
        <f t="shared" si="35"/>
        <v>1.4477647058823526E-6</v>
      </c>
      <c r="F165" s="226"/>
      <c r="G165" s="227">
        <f t="shared" si="34"/>
        <v>1.4477647058823526E-6</v>
      </c>
      <c r="H165" s="227">
        <f t="shared" si="37"/>
        <v>6.3412094117647046E-6</v>
      </c>
      <c r="I165" s="229">
        <f t="shared" si="38"/>
        <v>6.3412094117647046E-6</v>
      </c>
      <c r="P165" s="228"/>
    </row>
    <row r="166" spans="1:16" s="219" customFormat="1" x14ac:dyDescent="0.2">
      <c r="A166" s="617"/>
      <c r="B166" s="225" t="s">
        <v>168</v>
      </c>
      <c r="C166" s="226">
        <v>3.8000000000000002E-4</v>
      </c>
      <c r="D166" s="226">
        <f>(0.000006)*$H$7/1000</f>
        <v>8.4002999999999994E-10</v>
      </c>
      <c r="E166" s="226">
        <f t="shared" si="35"/>
        <v>6.5494117647058819E-6</v>
      </c>
      <c r="F166" s="226">
        <f t="shared" si="36"/>
        <v>1.0547999999999998E-10</v>
      </c>
      <c r="G166" s="227">
        <f t="shared" si="34"/>
        <v>6.5494117647058819E-6</v>
      </c>
      <c r="H166" s="227">
        <f t="shared" si="37"/>
        <v>2.8686423529411763E-5</v>
      </c>
      <c r="I166" s="229">
        <f t="shared" si="38"/>
        <v>2.8686423529411763E-5</v>
      </c>
      <c r="K166" s="216"/>
      <c r="P166" s="228"/>
    </row>
    <row r="167" spans="1:16" s="219" customFormat="1" x14ac:dyDescent="0.2">
      <c r="A167" s="617"/>
      <c r="B167" s="225" t="s">
        <v>169</v>
      </c>
      <c r="C167" s="230">
        <v>2.5999999999999998E-4</v>
      </c>
      <c r="D167" s="226">
        <f>(0.000003)*$H$7/1000</f>
        <v>4.2001499999999997E-10</v>
      </c>
      <c r="E167" s="226">
        <f t="shared" si="35"/>
        <v>4.4811764705882347E-6</v>
      </c>
      <c r="F167" s="226">
        <f t="shared" si="36"/>
        <v>5.2739999999999991E-11</v>
      </c>
      <c r="G167" s="229">
        <f t="shared" si="34"/>
        <v>4.4811764705882347E-6</v>
      </c>
      <c r="H167" s="229">
        <f t="shared" si="37"/>
        <v>1.9627552941176469E-5</v>
      </c>
      <c r="I167" s="229">
        <f t="shared" si="38"/>
        <v>1.9627552941176469E-5</v>
      </c>
      <c r="J167" s="216"/>
      <c r="K167" s="231"/>
      <c r="L167" s="232"/>
      <c r="M167" s="216"/>
      <c r="N167" s="216"/>
      <c r="O167" s="216"/>
      <c r="P167" s="232"/>
    </row>
    <row r="168" spans="1:16" s="219" customFormat="1" x14ac:dyDescent="0.2">
      <c r="A168" s="617"/>
      <c r="B168" s="225" t="s">
        <v>170</v>
      </c>
      <c r="C168" s="226">
        <v>2.0999999999999999E-3</v>
      </c>
      <c r="D168" s="226">
        <f>(0.000003)*$H$7/1000</f>
        <v>4.2001499999999997E-10</v>
      </c>
      <c r="E168" s="226">
        <f t="shared" si="35"/>
        <v>3.6194117647058815E-5</v>
      </c>
      <c r="F168" s="226">
        <f t="shared" si="36"/>
        <v>5.2739999999999991E-11</v>
      </c>
      <c r="G168" s="227">
        <f t="shared" si="34"/>
        <v>3.6194117647058815E-5</v>
      </c>
      <c r="H168" s="227">
        <f t="shared" si="37"/>
        <v>1.5853023529411762E-4</v>
      </c>
      <c r="I168" s="229">
        <f t="shared" si="38"/>
        <v>1.5853023529411762E-4</v>
      </c>
      <c r="N168" s="216"/>
      <c r="O168" s="216"/>
      <c r="P168" s="260"/>
    </row>
    <row r="169" spans="1:16" s="219" customFormat="1" x14ac:dyDescent="0.2">
      <c r="A169" s="617"/>
      <c r="B169" s="225" t="s">
        <v>171</v>
      </c>
      <c r="C169" s="226">
        <v>2.4000000000000001E-5</v>
      </c>
      <c r="D169" s="226">
        <f>(0.000015)*$H$7/1000</f>
        <v>2.1000750000000001E-9</v>
      </c>
      <c r="E169" s="226">
        <f t="shared" si="35"/>
        <v>4.1364705882352939E-7</v>
      </c>
      <c r="F169" s="226">
        <f t="shared" si="36"/>
        <v>2.6369999999999998E-10</v>
      </c>
      <c r="G169" s="227">
        <f t="shared" si="34"/>
        <v>4.1364705882352939E-7</v>
      </c>
      <c r="H169" s="227">
        <f t="shared" si="37"/>
        <v>1.8117741176470586E-6</v>
      </c>
      <c r="I169" s="229">
        <f t="shared" si="38"/>
        <v>1.8117741176470586E-6</v>
      </c>
      <c r="P169" s="260"/>
    </row>
    <row r="170" spans="1:16" s="219" customFormat="1" x14ac:dyDescent="0.2">
      <c r="A170" s="617"/>
      <c r="B170" s="233" t="s">
        <v>172</v>
      </c>
      <c r="C170" s="226"/>
      <c r="D170" s="226"/>
      <c r="E170" s="310">
        <f>SUM(E132:E169)</f>
        <v>3.2650661823529409E-2</v>
      </c>
      <c r="F170" s="310">
        <f>SUM(F132:F169)</f>
        <v>5.1500853411772145E-3</v>
      </c>
      <c r="G170" s="234">
        <f>MAX(E170:F170)</f>
        <v>3.2650661823529409E-2</v>
      </c>
      <c r="H170" s="234">
        <f>G170*8760/2000</f>
        <v>0.1430098987870588</v>
      </c>
      <c r="I170" s="235">
        <f t="shared" si="38"/>
        <v>0.1430098987870588</v>
      </c>
      <c r="K170" s="228"/>
      <c r="P170" s="163"/>
    </row>
    <row r="171" spans="1:16" s="219" customFormat="1" x14ac:dyDescent="0.2">
      <c r="A171" s="617"/>
      <c r="B171" s="233" t="s">
        <v>173</v>
      </c>
      <c r="C171" s="226">
        <v>5.0000000000000001E-4</v>
      </c>
      <c r="D171" s="226">
        <f>(0.000009)*$H$7/1000</f>
        <v>1.2600450000000001E-9</v>
      </c>
      <c r="E171" s="226">
        <f>C171*$B$130</f>
        <v>8.6176470588235283E-6</v>
      </c>
      <c r="F171" s="226">
        <f t="shared" si="36"/>
        <v>1.5822E-10</v>
      </c>
      <c r="G171" s="227">
        <f t="shared" ref="G171:G181" si="39">MAX(E171:F171)</f>
        <v>8.6176470588235283E-6</v>
      </c>
      <c r="H171" s="227">
        <f t="shared" si="37"/>
        <v>3.7745294117647058E-5</v>
      </c>
      <c r="I171" s="236">
        <f t="shared" si="38"/>
        <v>3.7745294117647058E-5</v>
      </c>
      <c r="K171" s="228"/>
      <c r="P171" s="163"/>
    </row>
    <row r="172" spans="1:16" s="219" customFormat="1" x14ac:dyDescent="0.2">
      <c r="A172" s="617"/>
      <c r="B172" s="233" t="s">
        <v>174</v>
      </c>
      <c r="C172" s="226">
        <v>7.6</v>
      </c>
      <c r="D172" s="226">
        <v>2</v>
      </c>
      <c r="E172" s="226">
        <f t="shared" si="35"/>
        <v>0.13098823529411763</v>
      </c>
      <c r="F172" s="226">
        <f t="shared" si="36"/>
        <v>0.25113388807542586</v>
      </c>
      <c r="G172" s="234">
        <f>MAX(E172:F172)</f>
        <v>0.25113388807542586</v>
      </c>
      <c r="H172" s="234">
        <f t="shared" si="37"/>
        <v>1.0999664297703653</v>
      </c>
      <c r="I172" s="235">
        <f t="shared" si="38"/>
        <v>1.0999664297703653</v>
      </c>
      <c r="K172" s="228"/>
      <c r="P172" s="163"/>
    </row>
    <row r="173" spans="1:16" s="219" customFormat="1" ht="14.25" x14ac:dyDescent="0.25">
      <c r="A173" s="617"/>
      <c r="B173" s="233" t="s">
        <v>17</v>
      </c>
      <c r="C173" s="226">
        <v>7.6</v>
      </c>
      <c r="D173" s="226">
        <v>1</v>
      </c>
      <c r="E173" s="226">
        <f t="shared" si="35"/>
        <v>0.13098823529411763</v>
      </c>
      <c r="F173" s="226">
        <f t="shared" si="36"/>
        <v>0.12556694403771293</v>
      </c>
      <c r="G173" s="234">
        <f>MAX(E173:F173)</f>
        <v>0.13098823529411763</v>
      </c>
      <c r="H173" s="234">
        <f t="shared" si="37"/>
        <v>0.57372847058823517</v>
      </c>
      <c r="I173" s="235">
        <f t="shared" si="38"/>
        <v>0.57372847058823517</v>
      </c>
      <c r="K173" s="228"/>
      <c r="P173" s="163"/>
    </row>
    <row r="174" spans="1:16" s="219" customFormat="1" ht="14.25" x14ac:dyDescent="0.25">
      <c r="A174" s="617"/>
      <c r="B174" s="233" t="s">
        <v>16</v>
      </c>
      <c r="C174" s="226">
        <v>7.6</v>
      </c>
      <c r="D174" s="226">
        <v>0.25</v>
      </c>
      <c r="E174" s="226">
        <f t="shared" si="35"/>
        <v>0.13098823529411763</v>
      </c>
      <c r="F174" s="226">
        <f t="shared" si="36"/>
        <v>3.1391736009428232E-2</v>
      </c>
      <c r="G174" s="234">
        <f>F174</f>
        <v>3.1391736009428232E-2</v>
      </c>
      <c r="H174" s="234">
        <f t="shared" si="37"/>
        <v>0.13749580372129566</v>
      </c>
      <c r="I174" s="235">
        <f t="shared" si="38"/>
        <v>0.13749580372129566</v>
      </c>
      <c r="K174" s="228"/>
      <c r="P174" s="163"/>
    </row>
    <row r="175" spans="1:16" s="219" customFormat="1" ht="14.25" x14ac:dyDescent="0.25">
      <c r="A175" s="617"/>
      <c r="B175" s="233" t="s">
        <v>253</v>
      </c>
      <c r="C175" s="226">
        <v>0.6</v>
      </c>
      <c r="D175" s="226">
        <f>142*L129</f>
        <v>71</v>
      </c>
      <c r="E175" s="226">
        <f t="shared" si="35"/>
        <v>1.0341176470588234E-2</v>
      </c>
      <c r="F175" s="226">
        <f>D175*$B$129</f>
        <v>8.9152530266776182</v>
      </c>
      <c r="G175" s="234">
        <f>MAX(E175:F175)</f>
        <v>8.9152530266776182</v>
      </c>
      <c r="H175" s="234">
        <f t="shared" si="37"/>
        <v>39.048808256847963</v>
      </c>
      <c r="I175" s="235">
        <f t="shared" ref="I175:I181" si="40">G175*8760/2000</f>
        <v>39.048808256847963</v>
      </c>
      <c r="K175" s="228"/>
      <c r="P175" s="163"/>
    </row>
    <row r="176" spans="1:16" s="219" customFormat="1" x14ac:dyDescent="0.2">
      <c r="A176" s="617"/>
      <c r="B176" s="233" t="s">
        <v>178</v>
      </c>
      <c r="C176" s="226">
        <v>100</v>
      </c>
      <c r="D176" s="226">
        <v>20</v>
      </c>
      <c r="E176" s="226">
        <f t="shared" si="35"/>
        <v>1.7235294117647058</v>
      </c>
      <c r="F176" s="226">
        <f t="shared" si="36"/>
        <v>2.5113388807542587</v>
      </c>
      <c r="G176" s="234">
        <f>MAX(E176:F176)</f>
        <v>2.5113388807542587</v>
      </c>
      <c r="H176" s="234">
        <f t="shared" si="37"/>
        <v>10.999664297703653</v>
      </c>
      <c r="I176" s="235">
        <f t="shared" si="40"/>
        <v>10.999664297703653</v>
      </c>
      <c r="K176" s="228"/>
      <c r="N176" s="216"/>
      <c r="O176" s="216"/>
      <c r="P176" s="164"/>
    </row>
    <row r="177" spans="1:16" s="219" customFormat="1" x14ac:dyDescent="0.2">
      <c r="A177" s="617"/>
      <c r="B177" s="233" t="s">
        <v>15</v>
      </c>
      <c r="C177" s="226">
        <v>5.5</v>
      </c>
      <c r="D177" s="226">
        <v>0.2</v>
      </c>
      <c r="E177" s="226">
        <f t="shared" si="35"/>
        <v>9.4794117647058806E-2</v>
      </c>
      <c r="F177" s="226">
        <f t="shared" si="36"/>
        <v>2.5113388807542589E-2</v>
      </c>
      <c r="G177" s="234">
        <f t="shared" si="39"/>
        <v>9.4794117647058806E-2</v>
      </c>
      <c r="H177" s="234">
        <f t="shared" si="37"/>
        <v>0.41519823529411759</v>
      </c>
      <c r="I177" s="235">
        <f t="shared" si="40"/>
        <v>0.41519823529411759</v>
      </c>
      <c r="K177" s="228"/>
      <c r="O177" s="246"/>
      <c r="P177" s="163"/>
    </row>
    <row r="178" spans="1:16" s="219" customFormat="1" x14ac:dyDescent="0.2">
      <c r="A178" s="617"/>
      <c r="B178" s="233" t="s">
        <v>215</v>
      </c>
      <c r="C178" s="226">
        <v>84</v>
      </c>
      <c r="D178" s="230">
        <v>5</v>
      </c>
      <c r="E178" s="226">
        <f t="shared" si="35"/>
        <v>1.4477647058823528</v>
      </c>
      <c r="F178" s="226">
        <f t="shared" si="36"/>
        <v>0.62783472018856468</v>
      </c>
      <c r="G178" s="234">
        <f>MAX(E178:F178)</f>
        <v>1.4477647058823528</v>
      </c>
      <c r="H178" s="234">
        <f>G178*8760/2000</f>
        <v>6.341209411764706</v>
      </c>
      <c r="I178" s="235">
        <f t="shared" si="40"/>
        <v>6.341209411764706</v>
      </c>
      <c r="K178" s="228"/>
      <c r="O178" s="246"/>
      <c r="P178" s="261"/>
    </row>
    <row r="179" spans="1:16" s="219" customFormat="1" ht="14.25" x14ac:dyDescent="0.25">
      <c r="A179" s="617"/>
      <c r="B179" s="233" t="s">
        <v>273</v>
      </c>
      <c r="C179" s="226">
        <v>120000</v>
      </c>
      <c r="D179" s="226">
        <v>22300</v>
      </c>
      <c r="E179" s="226">
        <f t="shared" si="35"/>
        <v>2068.2352941176468</v>
      </c>
      <c r="F179" s="226">
        <f t="shared" si="36"/>
        <v>2800.1428520409982</v>
      </c>
      <c r="G179" s="239">
        <f>MAX(E179:F179)</f>
        <v>2800.1428520409982</v>
      </c>
      <c r="H179" s="239">
        <f>G179*8760/2000</f>
        <v>12264.625691939571</v>
      </c>
      <c r="I179" s="240">
        <f t="shared" si="40"/>
        <v>12264.625691939571</v>
      </c>
      <c r="J179" s="242"/>
      <c r="K179" s="228"/>
      <c r="P179" s="163"/>
    </row>
    <row r="180" spans="1:16" s="219" customFormat="1" ht="14.25" x14ac:dyDescent="0.25">
      <c r="A180" s="617"/>
      <c r="B180" s="233" t="s">
        <v>274</v>
      </c>
      <c r="C180" s="226">
        <v>2.2999999999999998</v>
      </c>
      <c r="D180" s="226">
        <v>5.1999999999999998E-2</v>
      </c>
      <c r="E180" s="226">
        <f t="shared" si="35"/>
        <v>3.9641176470588228E-2</v>
      </c>
      <c r="F180" s="226">
        <f t="shared" si="36"/>
        <v>6.5294810899610718E-3</v>
      </c>
      <c r="G180" s="255">
        <f t="shared" si="39"/>
        <v>3.9641176470588228E-2</v>
      </c>
      <c r="H180" s="255">
        <f t="shared" si="37"/>
        <v>0.17362835294117646</v>
      </c>
      <c r="I180" s="257">
        <f t="shared" si="40"/>
        <v>0.17362835294117646</v>
      </c>
      <c r="J180" s="242"/>
      <c r="K180" s="228"/>
      <c r="P180" s="163"/>
    </row>
    <row r="181" spans="1:16" s="219" customFormat="1" ht="14.25" x14ac:dyDescent="0.25">
      <c r="A181" s="617"/>
      <c r="B181" s="233" t="s">
        <v>275</v>
      </c>
      <c r="C181" s="226">
        <v>2.2000000000000002</v>
      </c>
      <c r="D181" s="226">
        <v>0.26</v>
      </c>
      <c r="E181" s="226">
        <f t="shared" si="35"/>
        <v>3.7917647058823528E-2</v>
      </c>
      <c r="F181" s="226">
        <f t="shared" si="36"/>
        <v>3.2647405449805364E-2</v>
      </c>
      <c r="G181" s="255">
        <f t="shared" si="39"/>
        <v>3.7917647058823528E-2</v>
      </c>
      <c r="H181" s="255">
        <f t="shared" si="37"/>
        <v>0.16607929411764707</v>
      </c>
      <c r="I181" s="257">
        <f t="shared" si="40"/>
        <v>0.16607929411764707</v>
      </c>
      <c r="J181" s="242"/>
      <c r="K181" s="228"/>
      <c r="P181" s="163"/>
    </row>
    <row r="182" spans="1:16" s="219" customFormat="1" x14ac:dyDescent="0.2">
      <c r="A182" s="617"/>
      <c r="B182" s="233" t="s">
        <v>184</v>
      </c>
      <c r="C182" s="258"/>
      <c r="D182" s="258"/>
      <c r="E182" s="258">
        <f>SUM(E179:E181)</f>
        <v>2068.3128529411761</v>
      </c>
      <c r="F182" s="258">
        <f>SUM(F179:F181)</f>
        <v>2800.1820289275383</v>
      </c>
      <c r="G182" s="262">
        <f>SUM(G179:G181)</f>
        <v>2800.2204108645274</v>
      </c>
      <c r="H182" s="239">
        <f>SUM(H179:H181)</f>
        <v>12264.96539958663</v>
      </c>
      <c r="I182" s="240">
        <f>SUM(I179:I181)</f>
        <v>12264.96539958663</v>
      </c>
      <c r="J182" s="242"/>
      <c r="K182" s="228"/>
      <c r="P182" s="163"/>
    </row>
    <row r="183" spans="1:16" s="219" customFormat="1" ht="14.25" x14ac:dyDescent="0.25">
      <c r="A183" s="617"/>
      <c r="B183" s="233" t="s">
        <v>254</v>
      </c>
      <c r="C183" s="226"/>
      <c r="D183" s="226"/>
      <c r="E183" s="226">
        <f>E179+(E180*21)+(E181*310)</f>
        <v>2080.8222294117645</v>
      </c>
      <c r="F183" s="226">
        <f>F179+(F180*21)+(F181*310)</f>
        <v>2810.4006668333273</v>
      </c>
      <c r="G183" s="239">
        <f>G179+(G180*21)+(G181*310)</f>
        <v>2812.7297873351158</v>
      </c>
      <c r="H183" s="239">
        <f>H179+(H180*21)+(H181*310)</f>
        <v>12319.756468527805</v>
      </c>
      <c r="I183" s="240">
        <f>I179+(I180*21)+(I181*310)</f>
        <v>12319.756468527805</v>
      </c>
      <c r="J183" s="242"/>
      <c r="K183" s="228"/>
      <c r="P183" s="163"/>
    </row>
    <row r="184" spans="1:16" x14ac:dyDescent="0.2">
      <c r="A184" s="263"/>
      <c r="B184" s="246"/>
      <c r="C184" s="264"/>
      <c r="D184" s="264"/>
      <c r="E184" s="265"/>
      <c r="F184" s="265"/>
      <c r="G184" s="266"/>
      <c r="H184" s="266"/>
      <c r="I184" s="266"/>
      <c r="J184" s="242"/>
      <c r="K184" s="242"/>
      <c r="L184" s="242"/>
      <c r="M184" s="241"/>
      <c r="N184" s="242"/>
    </row>
    <row r="185" spans="1:16" ht="13.5" thickBot="1" x14ac:dyDescent="0.25">
      <c r="A185" s="263"/>
      <c r="B185" s="11" t="s">
        <v>308</v>
      </c>
      <c r="C185" s="465" t="s">
        <v>218</v>
      </c>
      <c r="D185" s="465" t="s">
        <v>328</v>
      </c>
      <c r="E185" s="265"/>
      <c r="F185" s="265"/>
      <c r="G185" s="266"/>
      <c r="H185" s="266"/>
      <c r="I185" s="266"/>
      <c r="J185" s="242"/>
      <c r="K185" s="242"/>
      <c r="L185" s="242"/>
      <c r="M185" s="241"/>
      <c r="N185" s="242"/>
    </row>
    <row r="186" spans="1:16" ht="14.25" x14ac:dyDescent="0.25">
      <c r="A186" s="263"/>
      <c r="B186" s="462" t="s">
        <v>273</v>
      </c>
      <c r="C186" s="470">
        <f>SUM(K58,G119,G179)</f>
        <v>12528.241754688395</v>
      </c>
      <c r="D186" s="466">
        <f t="shared" ref="D186:D188" si="41">C186*8760/2000</f>
        <v>54873.698885535174</v>
      </c>
      <c r="E186" s="265"/>
      <c r="F186" s="265"/>
      <c r="G186" s="266"/>
      <c r="H186" s="266"/>
      <c r="I186" s="266"/>
      <c r="J186" s="242"/>
      <c r="K186" s="242"/>
      <c r="L186" s="242"/>
      <c r="M186" s="241"/>
      <c r="N186" s="242"/>
    </row>
    <row r="187" spans="1:16" ht="14.25" x14ac:dyDescent="0.25">
      <c r="A187" s="263"/>
      <c r="B187" s="463" t="s">
        <v>274</v>
      </c>
      <c r="C187" s="183">
        <f>SUM(K59,G120,G180)</f>
        <v>0.39091568627450984</v>
      </c>
      <c r="D187" s="467">
        <f t="shared" si="41"/>
        <v>1.712210705882353</v>
      </c>
      <c r="E187" s="265"/>
      <c r="F187" s="265"/>
      <c r="G187" s="266"/>
      <c r="H187" s="266"/>
      <c r="I187" s="266"/>
      <c r="J187" s="242"/>
      <c r="K187" s="242"/>
      <c r="L187" s="242"/>
      <c r="M187" s="241"/>
      <c r="N187" s="242"/>
    </row>
    <row r="188" spans="1:16" ht="14.25" x14ac:dyDescent="0.25">
      <c r="A188" s="263"/>
      <c r="B188" s="463" t="s">
        <v>275</v>
      </c>
      <c r="C188" s="471">
        <f>SUM(K60,G121,G181)</f>
        <v>0.22890196078431374</v>
      </c>
      <c r="D188" s="467">
        <f t="shared" si="41"/>
        <v>1.0025905882352941</v>
      </c>
      <c r="E188" s="265"/>
      <c r="F188" s="265"/>
      <c r="G188" s="266"/>
      <c r="H188" s="266"/>
      <c r="I188" s="266"/>
      <c r="J188" s="242"/>
      <c r="K188" s="242"/>
      <c r="L188" s="242"/>
      <c r="M188" s="241"/>
      <c r="N188" s="242"/>
    </row>
    <row r="189" spans="1:16" x14ac:dyDescent="0.2">
      <c r="A189" s="263"/>
      <c r="B189" s="463" t="s">
        <v>184</v>
      </c>
      <c r="C189" s="461">
        <f t="shared" ref="C189" si="42">SUM(C186:C188)</f>
        <v>12528.861572335454</v>
      </c>
      <c r="D189" s="468">
        <f>C189*8760/2000</f>
        <v>54876.413686829292</v>
      </c>
      <c r="E189" s="265"/>
      <c r="F189" s="265"/>
      <c r="G189" s="266"/>
      <c r="H189" s="266"/>
      <c r="I189" s="266"/>
      <c r="J189" s="242"/>
      <c r="K189" s="242"/>
      <c r="L189" s="242"/>
      <c r="M189" s="241"/>
      <c r="N189" s="242"/>
    </row>
    <row r="190" spans="1:16" ht="15" thickBot="1" x14ac:dyDescent="0.3">
      <c r="A190" s="263"/>
      <c r="B190" s="464" t="s">
        <v>254</v>
      </c>
      <c r="C190" s="421">
        <f>C186+(C187*21)+(C188*310)</f>
        <v>12607.410591943297</v>
      </c>
      <c r="D190" s="469">
        <f>C190*8760/2000</f>
        <v>55220.45839271164</v>
      </c>
      <c r="E190" s="265"/>
      <c r="F190" s="265"/>
      <c r="G190" s="266"/>
      <c r="H190" s="266"/>
      <c r="I190" s="266"/>
      <c r="J190" s="242"/>
      <c r="K190" s="242"/>
      <c r="L190" s="242"/>
      <c r="M190" s="241"/>
      <c r="N190" s="242"/>
    </row>
    <row r="191" spans="1:16" x14ac:dyDescent="0.2">
      <c r="A191" s="263"/>
      <c r="B191" s="246"/>
      <c r="C191" s="264"/>
      <c r="D191" s="264"/>
      <c r="E191" s="265"/>
      <c r="F191" s="265"/>
      <c r="G191" s="266"/>
      <c r="H191" s="266"/>
      <c r="I191" s="266"/>
      <c r="J191" s="242"/>
      <c r="K191" s="242"/>
      <c r="L191" s="242"/>
      <c r="M191" s="241"/>
      <c r="N191" s="242"/>
    </row>
    <row r="192" spans="1:16" x14ac:dyDescent="0.2">
      <c r="A192" s="263"/>
      <c r="B192" s="246"/>
      <c r="C192" s="264"/>
      <c r="D192" s="264"/>
      <c r="E192" s="265"/>
      <c r="F192" s="265"/>
      <c r="G192" s="266"/>
      <c r="H192" s="266"/>
      <c r="I192" s="266"/>
      <c r="J192" s="242"/>
      <c r="K192" s="242"/>
      <c r="L192" s="242"/>
      <c r="M192" s="241"/>
      <c r="N192" s="242"/>
    </row>
    <row r="193" spans="1:14" x14ac:dyDescent="0.2">
      <c r="A193" s="263"/>
      <c r="B193" s="246"/>
      <c r="C193" s="264"/>
      <c r="D193" s="264"/>
      <c r="E193" s="265"/>
      <c r="F193" s="265"/>
      <c r="G193" s="266"/>
      <c r="H193" s="266"/>
      <c r="I193" s="266"/>
      <c r="J193" s="242"/>
      <c r="K193" s="242"/>
      <c r="L193" s="242"/>
      <c r="M193" s="241"/>
      <c r="N193" s="242"/>
    </row>
    <row r="194" spans="1:14" x14ac:dyDescent="0.2">
      <c r="A194" s="263"/>
      <c r="B194" s="246"/>
      <c r="C194" s="264"/>
      <c r="D194" s="264"/>
      <c r="E194" s="265"/>
      <c r="F194" s="265"/>
      <c r="G194" s="266"/>
      <c r="H194" s="266"/>
      <c r="I194" s="266"/>
      <c r="J194" s="242"/>
      <c r="K194" s="242"/>
      <c r="L194" s="242"/>
      <c r="M194" s="241"/>
      <c r="N194" s="242"/>
    </row>
    <row r="195" spans="1:14" x14ac:dyDescent="0.2">
      <c r="A195" s="263"/>
      <c r="B195" s="246"/>
      <c r="C195" s="264"/>
      <c r="D195" s="264"/>
      <c r="E195" s="265"/>
      <c r="F195" s="265"/>
      <c r="G195" s="266"/>
      <c r="H195" s="266"/>
      <c r="I195" s="266"/>
      <c r="J195" s="242"/>
      <c r="K195" s="242"/>
      <c r="L195" s="242"/>
      <c r="M195" s="241"/>
      <c r="N195" s="242"/>
    </row>
    <row r="196" spans="1:14" x14ac:dyDescent="0.2">
      <c r="A196" s="263"/>
      <c r="B196" s="246"/>
      <c r="C196" s="264"/>
      <c r="D196" s="264"/>
      <c r="E196" s="265"/>
      <c r="F196" s="265"/>
      <c r="G196" s="266"/>
      <c r="H196" s="266"/>
      <c r="I196" s="266"/>
      <c r="J196" s="242"/>
      <c r="K196" s="242"/>
      <c r="L196" s="242"/>
      <c r="M196" s="241"/>
      <c r="N196" s="242"/>
    </row>
    <row r="197" spans="1:14" x14ac:dyDescent="0.2">
      <c r="A197" s="263"/>
      <c r="B197" s="246"/>
      <c r="C197" s="264"/>
      <c r="D197" s="264"/>
      <c r="E197" s="265"/>
      <c r="F197" s="265"/>
      <c r="G197" s="266"/>
      <c r="H197" s="266"/>
      <c r="I197" s="266"/>
      <c r="J197" s="242"/>
      <c r="K197" s="242"/>
      <c r="L197" s="242"/>
      <c r="M197" s="241"/>
      <c r="N197" s="242"/>
    </row>
    <row r="198" spans="1:14" x14ac:dyDescent="0.2">
      <c r="A198" s="263"/>
      <c r="B198" s="246"/>
      <c r="C198" s="264"/>
      <c r="D198" s="264"/>
      <c r="E198" s="265"/>
      <c r="F198" s="265"/>
      <c r="G198" s="266"/>
      <c r="H198" s="266"/>
      <c r="I198" s="266"/>
      <c r="J198" s="242"/>
      <c r="K198" s="242"/>
      <c r="L198" s="242"/>
      <c r="M198" s="241"/>
      <c r="N198" s="242"/>
    </row>
    <row r="199" spans="1:14" x14ac:dyDescent="0.2">
      <c r="A199" s="263"/>
      <c r="B199" s="246"/>
      <c r="C199" s="264"/>
      <c r="D199" s="264"/>
      <c r="E199" s="265"/>
      <c r="F199" s="265"/>
      <c r="G199" s="266"/>
      <c r="H199" s="266"/>
      <c r="I199" s="266"/>
      <c r="J199" s="242"/>
      <c r="K199" s="242"/>
      <c r="L199" s="242"/>
      <c r="M199" s="241"/>
      <c r="N199" s="242"/>
    </row>
    <row r="200" spans="1:14" x14ac:dyDescent="0.2">
      <c r="A200" s="263"/>
      <c r="B200" s="246"/>
      <c r="C200" s="264"/>
      <c r="D200" s="264"/>
      <c r="E200" s="265"/>
      <c r="F200" s="265"/>
      <c r="G200" s="266"/>
      <c r="H200" s="266"/>
      <c r="I200" s="266"/>
      <c r="J200" s="242"/>
      <c r="K200" s="242"/>
      <c r="L200" s="242"/>
      <c r="M200" s="241"/>
      <c r="N200" s="242"/>
    </row>
    <row r="201" spans="1:14" x14ac:dyDescent="0.2">
      <c r="A201" s="263"/>
      <c r="B201" s="246"/>
      <c r="C201" s="264"/>
      <c r="D201" s="264"/>
      <c r="E201" s="265"/>
      <c r="F201" s="265"/>
      <c r="G201" s="266"/>
      <c r="H201" s="266"/>
      <c r="I201" s="266"/>
      <c r="J201" s="242"/>
      <c r="K201" s="242"/>
      <c r="L201" s="242"/>
      <c r="M201" s="241"/>
      <c r="N201" s="242"/>
    </row>
    <row r="202" spans="1:14" x14ac:dyDescent="0.2">
      <c r="A202" s="263"/>
      <c r="B202" s="246"/>
      <c r="C202" s="264"/>
      <c r="D202" s="264"/>
      <c r="E202" s="265"/>
      <c r="F202" s="265"/>
      <c r="G202" s="266"/>
      <c r="H202" s="266"/>
      <c r="I202" s="266"/>
      <c r="J202" s="242"/>
      <c r="K202" s="242"/>
      <c r="L202" s="242"/>
      <c r="M202" s="241"/>
      <c r="N202" s="242"/>
    </row>
    <row r="203" spans="1:14" x14ac:dyDescent="0.2">
      <c r="A203" s="263"/>
      <c r="B203" s="246"/>
      <c r="C203" s="264"/>
      <c r="D203" s="264"/>
      <c r="E203" s="265"/>
      <c r="F203" s="265"/>
      <c r="G203" s="266"/>
      <c r="H203" s="266"/>
      <c r="I203" s="266"/>
      <c r="J203" s="242"/>
      <c r="K203" s="242"/>
      <c r="L203" s="242"/>
      <c r="M203" s="241"/>
      <c r="N203" s="242"/>
    </row>
    <row r="204" spans="1:14" x14ac:dyDescent="0.2">
      <c r="A204" s="263"/>
      <c r="B204" s="246"/>
      <c r="C204" s="264"/>
      <c r="D204" s="264"/>
      <c r="E204" s="265"/>
      <c r="F204" s="265"/>
      <c r="G204" s="266"/>
      <c r="H204" s="266"/>
      <c r="I204" s="266"/>
      <c r="J204" s="242"/>
      <c r="K204" s="242"/>
      <c r="L204" s="242"/>
      <c r="M204" s="241"/>
      <c r="N204" s="242"/>
    </row>
    <row r="205" spans="1:14" x14ac:dyDescent="0.2">
      <c r="A205" s="263"/>
      <c r="B205" s="246"/>
      <c r="C205" s="264"/>
      <c r="D205" s="264"/>
      <c r="E205" s="265"/>
      <c r="F205" s="265"/>
      <c r="G205" s="266"/>
      <c r="H205" s="266"/>
      <c r="I205" s="266"/>
      <c r="J205" s="242"/>
      <c r="K205" s="242"/>
      <c r="L205" s="242"/>
      <c r="M205" s="241"/>
      <c r="N205" s="242"/>
    </row>
    <row r="206" spans="1:14" x14ac:dyDescent="0.2">
      <c r="A206" s="263"/>
      <c r="B206" s="246"/>
      <c r="C206" s="264"/>
      <c r="D206" s="264"/>
      <c r="E206" s="265"/>
      <c r="F206" s="265"/>
      <c r="G206" s="266"/>
      <c r="H206" s="266"/>
      <c r="I206" s="266"/>
      <c r="J206" s="242"/>
      <c r="K206" s="242"/>
      <c r="L206" s="242"/>
      <c r="M206" s="241"/>
      <c r="N206" s="242"/>
    </row>
    <row r="207" spans="1:14" x14ac:dyDescent="0.2">
      <c r="A207" s="263"/>
      <c r="B207" s="246"/>
      <c r="C207" s="264"/>
      <c r="D207" s="264"/>
      <c r="E207" s="265"/>
      <c r="F207" s="265"/>
      <c r="G207" s="266"/>
      <c r="H207" s="266"/>
      <c r="I207" s="266"/>
      <c r="J207" s="242"/>
      <c r="K207" s="242"/>
      <c r="L207" s="242"/>
      <c r="M207" s="241"/>
      <c r="N207" s="242"/>
    </row>
    <row r="208" spans="1:14" x14ac:dyDescent="0.2">
      <c r="A208" s="263"/>
      <c r="B208" s="246"/>
      <c r="C208" s="264"/>
      <c r="D208" s="264"/>
      <c r="E208" s="265"/>
      <c r="F208" s="265"/>
      <c r="G208" s="266"/>
      <c r="H208" s="266"/>
      <c r="I208" s="266"/>
      <c r="J208" s="242"/>
      <c r="K208" s="242"/>
      <c r="L208" s="242"/>
      <c r="M208" s="241"/>
      <c r="N208" s="242"/>
    </row>
    <row r="209" spans="1:14" x14ac:dyDescent="0.2">
      <c r="A209" s="263"/>
      <c r="B209" s="246"/>
      <c r="C209" s="264"/>
      <c r="D209" s="264"/>
      <c r="E209" s="265"/>
      <c r="F209" s="265"/>
      <c r="G209" s="266"/>
      <c r="H209" s="266"/>
      <c r="I209" s="266"/>
      <c r="J209" s="242"/>
      <c r="K209" s="242"/>
      <c r="L209" s="242"/>
      <c r="M209" s="241"/>
      <c r="N209" s="242"/>
    </row>
    <row r="210" spans="1:14" x14ac:dyDescent="0.2">
      <c r="A210" s="263"/>
      <c r="B210" s="246"/>
      <c r="C210" s="264"/>
      <c r="D210" s="264"/>
      <c r="E210" s="265"/>
      <c r="F210" s="265"/>
      <c r="G210" s="266"/>
      <c r="H210" s="266"/>
      <c r="I210" s="266"/>
      <c r="J210" s="242"/>
      <c r="K210" s="242"/>
      <c r="L210" s="242"/>
      <c r="M210" s="241"/>
      <c r="N210" s="242"/>
    </row>
    <row r="211" spans="1:14" x14ac:dyDescent="0.2">
      <c r="A211" s="263"/>
      <c r="B211" s="246"/>
      <c r="C211" s="264"/>
      <c r="D211" s="264"/>
      <c r="E211" s="265"/>
      <c r="F211" s="265"/>
      <c r="G211" s="266"/>
      <c r="H211" s="266"/>
      <c r="I211" s="266"/>
      <c r="J211" s="242"/>
      <c r="K211" s="242"/>
      <c r="L211" s="242"/>
      <c r="M211" s="241"/>
      <c r="N211" s="242"/>
    </row>
    <row r="212" spans="1:14" x14ac:dyDescent="0.2">
      <c r="A212" s="263"/>
      <c r="B212" s="246"/>
      <c r="C212" s="264"/>
      <c r="D212" s="264"/>
      <c r="E212" s="265"/>
      <c r="F212" s="265"/>
      <c r="G212" s="266"/>
      <c r="H212" s="266"/>
      <c r="I212" s="266"/>
      <c r="J212" s="242"/>
      <c r="K212" s="242"/>
      <c r="L212" s="242"/>
      <c r="M212" s="241"/>
      <c r="N212" s="242"/>
    </row>
    <row r="213" spans="1:14" x14ac:dyDescent="0.2">
      <c r="A213" s="263"/>
      <c r="B213" s="246"/>
      <c r="C213" s="264"/>
      <c r="D213" s="264"/>
      <c r="E213" s="265"/>
      <c r="F213" s="265"/>
      <c r="G213" s="266"/>
      <c r="H213" s="266"/>
      <c r="I213" s="266"/>
      <c r="J213" s="242"/>
      <c r="K213" s="242"/>
      <c r="L213" s="242"/>
      <c r="M213" s="241"/>
      <c r="N213" s="242"/>
    </row>
    <row r="214" spans="1:14" x14ac:dyDescent="0.2">
      <c r="A214" s="263"/>
      <c r="B214" s="246"/>
      <c r="C214" s="264"/>
      <c r="D214" s="264"/>
      <c r="E214" s="265"/>
      <c r="F214" s="265"/>
      <c r="G214" s="266"/>
      <c r="H214" s="266"/>
      <c r="I214" s="266"/>
      <c r="J214" s="242"/>
      <c r="K214" s="242"/>
      <c r="L214" s="242"/>
      <c r="M214" s="241"/>
      <c r="N214" s="242"/>
    </row>
    <row r="215" spans="1:14" x14ac:dyDescent="0.2">
      <c r="A215" s="263"/>
      <c r="B215" s="246"/>
      <c r="C215" s="264"/>
      <c r="D215" s="264"/>
      <c r="E215" s="265"/>
      <c r="F215" s="265"/>
      <c r="G215" s="266"/>
      <c r="H215" s="266"/>
      <c r="I215" s="266"/>
      <c r="J215" s="242"/>
      <c r="K215" s="242"/>
      <c r="L215" s="242"/>
      <c r="M215" s="241"/>
      <c r="N215" s="242"/>
    </row>
    <row r="216" spans="1:14" x14ac:dyDescent="0.2">
      <c r="A216" s="263"/>
      <c r="B216" s="246"/>
      <c r="C216" s="264"/>
      <c r="D216" s="264"/>
      <c r="E216" s="265"/>
      <c r="F216" s="265"/>
      <c r="G216" s="266"/>
      <c r="H216" s="266"/>
      <c r="I216" s="266"/>
      <c r="J216" s="242"/>
      <c r="K216" s="242"/>
      <c r="L216" s="242"/>
      <c r="M216" s="241"/>
      <c r="N216" s="242"/>
    </row>
    <row r="217" spans="1:14" x14ac:dyDescent="0.2">
      <c r="A217" s="263"/>
      <c r="B217" s="246"/>
      <c r="C217" s="264"/>
      <c r="D217" s="264"/>
      <c r="E217" s="265"/>
      <c r="F217" s="265"/>
      <c r="G217" s="266"/>
      <c r="H217" s="266"/>
      <c r="I217" s="266"/>
      <c r="J217" s="242"/>
      <c r="K217" s="242"/>
      <c r="L217" s="242"/>
      <c r="M217" s="241"/>
      <c r="N217" s="242"/>
    </row>
    <row r="218" spans="1:14" x14ac:dyDescent="0.2">
      <c r="A218" s="263"/>
      <c r="B218" s="246"/>
      <c r="C218" s="264"/>
      <c r="D218" s="264"/>
      <c r="E218" s="265"/>
      <c r="F218" s="265"/>
      <c r="G218" s="266"/>
      <c r="H218" s="266"/>
      <c r="I218" s="266"/>
      <c r="J218" s="242"/>
      <c r="K218" s="242"/>
      <c r="L218" s="242"/>
      <c r="M218" s="241"/>
      <c r="N218" s="242"/>
    </row>
    <row r="219" spans="1:14" x14ac:dyDescent="0.2">
      <c r="A219" s="263"/>
      <c r="B219" s="246"/>
      <c r="C219" s="264"/>
      <c r="D219" s="264"/>
      <c r="E219" s="265"/>
      <c r="F219" s="265"/>
      <c r="G219" s="266"/>
      <c r="H219" s="266"/>
      <c r="I219" s="266"/>
      <c r="J219" s="242"/>
      <c r="K219" s="242"/>
      <c r="L219" s="242"/>
      <c r="M219" s="241"/>
      <c r="N219" s="242"/>
    </row>
    <row r="220" spans="1:14" x14ac:dyDescent="0.2">
      <c r="A220" s="263"/>
      <c r="B220" s="246"/>
      <c r="C220" s="264"/>
      <c r="D220" s="264"/>
      <c r="E220" s="265"/>
      <c r="F220" s="265"/>
      <c r="G220" s="266"/>
      <c r="H220" s="266"/>
      <c r="I220" s="266"/>
      <c r="J220" s="242"/>
      <c r="K220" s="242"/>
      <c r="L220" s="242"/>
      <c r="M220" s="241"/>
      <c r="N220" s="242"/>
    </row>
    <row r="221" spans="1:14" x14ac:dyDescent="0.2">
      <c r="A221" s="263"/>
      <c r="B221" s="246"/>
      <c r="C221" s="264"/>
      <c r="D221" s="264"/>
      <c r="E221" s="265"/>
      <c r="F221" s="265"/>
      <c r="G221" s="266"/>
      <c r="H221" s="266"/>
      <c r="I221" s="266"/>
      <c r="J221" s="242"/>
      <c r="K221" s="242"/>
      <c r="L221" s="242"/>
      <c r="M221" s="241"/>
      <c r="N221" s="242"/>
    </row>
    <row r="222" spans="1:14" x14ac:dyDescent="0.2">
      <c r="A222" s="263"/>
      <c r="B222" s="246"/>
      <c r="C222" s="264"/>
      <c r="D222" s="264"/>
      <c r="E222" s="265"/>
      <c r="F222" s="265"/>
      <c r="G222" s="266"/>
      <c r="H222" s="266"/>
      <c r="I222" s="266"/>
      <c r="J222" s="242"/>
      <c r="K222" s="242"/>
      <c r="L222" s="242"/>
      <c r="M222" s="241"/>
      <c r="N222" s="242"/>
    </row>
    <row r="223" spans="1:14" x14ac:dyDescent="0.2">
      <c r="A223" s="263"/>
      <c r="B223" s="246"/>
      <c r="C223" s="264"/>
      <c r="D223" s="264"/>
      <c r="E223" s="265"/>
      <c r="F223" s="265"/>
      <c r="G223" s="266"/>
      <c r="H223" s="266"/>
      <c r="I223" s="266"/>
      <c r="J223" s="242"/>
      <c r="K223" s="242"/>
      <c r="L223" s="242"/>
      <c r="M223" s="241"/>
      <c r="N223" s="242"/>
    </row>
    <row r="224" spans="1:14" x14ac:dyDescent="0.2">
      <c r="A224" s="263"/>
      <c r="B224" s="246"/>
      <c r="C224" s="264"/>
      <c r="D224" s="264"/>
      <c r="E224" s="265"/>
      <c r="F224" s="265"/>
      <c r="G224" s="266"/>
      <c r="H224" s="266"/>
      <c r="I224" s="266"/>
      <c r="J224" s="242"/>
      <c r="K224" s="242"/>
      <c r="L224" s="242"/>
      <c r="M224" s="241"/>
      <c r="N224" s="242"/>
    </row>
    <row r="225" spans="1:14" x14ac:dyDescent="0.2">
      <c r="A225" s="263"/>
      <c r="B225" s="246"/>
      <c r="C225" s="264"/>
      <c r="D225" s="264"/>
      <c r="E225" s="265"/>
      <c r="F225" s="265"/>
      <c r="G225" s="266"/>
      <c r="H225" s="266"/>
      <c r="I225" s="266"/>
      <c r="J225" s="242"/>
      <c r="K225" s="242"/>
      <c r="L225" s="242"/>
      <c r="M225" s="241"/>
      <c r="N225" s="242"/>
    </row>
    <row r="226" spans="1:14" x14ac:dyDescent="0.2">
      <c r="A226" s="263"/>
      <c r="B226" s="246"/>
      <c r="C226" s="264"/>
      <c r="D226" s="264"/>
      <c r="E226" s="265"/>
      <c r="F226" s="265"/>
      <c r="G226" s="266"/>
      <c r="H226" s="266"/>
      <c r="I226" s="266"/>
      <c r="J226" s="242"/>
      <c r="K226" s="242"/>
      <c r="L226" s="242"/>
      <c r="M226" s="241"/>
      <c r="N226" s="242"/>
    </row>
    <row r="227" spans="1:14" x14ac:dyDescent="0.2">
      <c r="A227" s="263"/>
      <c r="B227" s="246"/>
      <c r="C227" s="264"/>
      <c r="D227" s="264"/>
      <c r="E227" s="265"/>
      <c r="F227" s="265"/>
      <c r="G227" s="266"/>
      <c r="H227" s="266"/>
      <c r="I227" s="266"/>
      <c r="J227" s="242"/>
      <c r="K227" s="242"/>
      <c r="L227" s="242"/>
      <c r="M227" s="241"/>
      <c r="N227" s="242"/>
    </row>
    <row r="228" spans="1:14" x14ac:dyDescent="0.2">
      <c r="A228" s="263"/>
      <c r="B228" s="246"/>
      <c r="C228" s="264"/>
      <c r="D228" s="264"/>
      <c r="E228" s="265"/>
      <c r="F228" s="265"/>
      <c r="G228" s="266"/>
      <c r="H228" s="266"/>
      <c r="I228" s="266"/>
      <c r="J228" s="242"/>
      <c r="K228" s="242"/>
      <c r="L228" s="242"/>
      <c r="M228" s="241"/>
      <c r="N228" s="242"/>
    </row>
    <row r="229" spans="1:14" x14ac:dyDescent="0.2">
      <c r="A229" s="263"/>
      <c r="B229" s="246"/>
      <c r="C229" s="264"/>
      <c r="D229" s="264"/>
      <c r="E229" s="265"/>
      <c r="F229" s="265"/>
      <c r="G229" s="266"/>
      <c r="H229" s="266"/>
      <c r="I229" s="266"/>
      <c r="J229" s="242"/>
      <c r="K229" s="242"/>
      <c r="L229" s="242"/>
      <c r="M229" s="241"/>
      <c r="N229" s="242"/>
    </row>
    <row r="230" spans="1:14" x14ac:dyDescent="0.2">
      <c r="A230" s="263"/>
      <c r="B230" s="246"/>
      <c r="C230" s="264"/>
      <c r="D230" s="264"/>
      <c r="E230" s="265"/>
      <c r="F230" s="265"/>
      <c r="G230" s="266"/>
      <c r="H230" s="266"/>
      <c r="I230" s="266"/>
      <c r="J230" s="242"/>
      <c r="K230" s="242"/>
      <c r="L230" s="242"/>
      <c r="M230" s="241"/>
      <c r="N230" s="242"/>
    </row>
    <row r="231" spans="1:14" x14ac:dyDescent="0.2">
      <c r="A231" s="263"/>
      <c r="B231" s="246"/>
      <c r="C231" s="264"/>
      <c r="D231" s="264"/>
      <c r="E231" s="265"/>
      <c r="F231" s="265"/>
      <c r="G231" s="266"/>
      <c r="H231" s="266"/>
      <c r="I231" s="266"/>
      <c r="J231" s="242"/>
      <c r="K231" s="242"/>
      <c r="L231" s="242"/>
      <c r="M231" s="241"/>
      <c r="N231" s="242"/>
    </row>
    <row r="232" spans="1:14" x14ac:dyDescent="0.2">
      <c r="A232" s="263"/>
      <c r="B232" s="246"/>
      <c r="C232" s="264"/>
      <c r="D232" s="264"/>
      <c r="E232" s="265"/>
      <c r="F232" s="265"/>
      <c r="G232" s="266"/>
      <c r="H232" s="266"/>
      <c r="I232" s="266"/>
      <c r="J232" s="242"/>
      <c r="K232" s="242"/>
      <c r="L232" s="242"/>
      <c r="M232" s="241"/>
      <c r="N232" s="242"/>
    </row>
    <row r="233" spans="1:14" x14ac:dyDescent="0.2">
      <c r="A233" s="263"/>
      <c r="B233" s="246"/>
      <c r="C233" s="264"/>
      <c r="D233" s="264"/>
      <c r="E233" s="265"/>
      <c r="F233" s="265"/>
      <c r="G233" s="266"/>
      <c r="H233" s="266"/>
      <c r="I233" s="266"/>
      <c r="J233" s="242"/>
      <c r="K233" s="242"/>
      <c r="L233" s="242"/>
      <c r="M233" s="241"/>
      <c r="N233" s="242"/>
    </row>
    <row r="234" spans="1:14" x14ac:dyDescent="0.2">
      <c r="A234" s="263"/>
      <c r="B234" s="246"/>
      <c r="C234" s="264"/>
      <c r="D234" s="264"/>
      <c r="E234" s="265"/>
      <c r="F234" s="265"/>
      <c r="G234" s="266"/>
      <c r="H234" s="266"/>
      <c r="I234" s="266"/>
      <c r="J234" s="242"/>
      <c r="K234" s="242"/>
      <c r="L234" s="242"/>
      <c r="M234" s="241"/>
      <c r="N234" s="242"/>
    </row>
    <row r="235" spans="1:14" x14ac:dyDescent="0.2">
      <c r="A235" s="263"/>
      <c r="B235" s="246"/>
      <c r="C235" s="264"/>
      <c r="D235" s="264"/>
      <c r="E235" s="265"/>
      <c r="F235" s="265"/>
      <c r="G235" s="266"/>
      <c r="H235" s="266"/>
      <c r="I235" s="266"/>
      <c r="J235" s="242"/>
      <c r="K235" s="242"/>
      <c r="L235" s="242"/>
      <c r="M235" s="241"/>
      <c r="N235" s="242"/>
    </row>
    <row r="236" spans="1:14" x14ac:dyDescent="0.2">
      <c r="A236" s="263"/>
      <c r="B236" s="246"/>
      <c r="C236" s="264"/>
      <c r="D236" s="264"/>
      <c r="E236" s="265"/>
      <c r="F236" s="265"/>
      <c r="G236" s="266"/>
      <c r="H236" s="266"/>
      <c r="I236" s="266"/>
      <c r="J236" s="242"/>
      <c r="K236" s="242"/>
      <c r="L236" s="242"/>
      <c r="M236" s="241"/>
      <c r="N236" s="242"/>
    </row>
    <row r="237" spans="1:14" x14ac:dyDescent="0.2">
      <c r="A237" s="263"/>
      <c r="B237" s="246"/>
      <c r="C237" s="264"/>
      <c r="D237" s="264"/>
      <c r="E237" s="265"/>
      <c r="F237" s="265"/>
      <c r="G237" s="266"/>
      <c r="H237" s="266"/>
      <c r="I237" s="266"/>
      <c r="J237" s="242"/>
      <c r="K237" s="242"/>
      <c r="L237" s="242"/>
      <c r="M237" s="241"/>
      <c r="N237" s="242"/>
    </row>
    <row r="238" spans="1:14" x14ac:dyDescent="0.2">
      <c r="A238" s="263"/>
      <c r="B238" s="246"/>
      <c r="C238" s="264"/>
      <c r="D238" s="264"/>
      <c r="E238" s="265"/>
      <c r="F238" s="265"/>
      <c r="G238" s="266"/>
      <c r="H238" s="266"/>
      <c r="I238" s="266"/>
      <c r="J238" s="242"/>
      <c r="K238" s="242"/>
      <c r="L238" s="242"/>
      <c r="M238" s="241"/>
      <c r="N238" s="242"/>
    </row>
    <row r="239" spans="1:14" x14ac:dyDescent="0.2">
      <c r="A239" s="263"/>
      <c r="B239" s="246"/>
      <c r="C239" s="264"/>
      <c r="D239" s="264"/>
      <c r="E239" s="265"/>
      <c r="F239" s="265"/>
      <c r="G239" s="266"/>
      <c r="H239" s="266"/>
      <c r="I239" s="266"/>
      <c r="J239" s="242"/>
      <c r="K239" s="242"/>
      <c r="L239" s="242"/>
      <c r="M239" s="241"/>
      <c r="N239" s="242"/>
    </row>
    <row r="240" spans="1:14" x14ac:dyDescent="0.2">
      <c r="A240" s="263"/>
      <c r="B240" s="246"/>
      <c r="C240" s="264"/>
      <c r="D240" s="264"/>
      <c r="E240" s="265"/>
      <c r="F240" s="265"/>
      <c r="G240" s="266"/>
      <c r="H240" s="266"/>
      <c r="I240" s="266"/>
      <c r="J240" s="242"/>
      <c r="K240" s="242"/>
      <c r="L240" s="242"/>
      <c r="M240" s="241"/>
      <c r="N240" s="242"/>
    </row>
    <row r="241" spans="1:14" x14ac:dyDescent="0.2">
      <c r="A241" s="263"/>
      <c r="B241" s="246"/>
      <c r="C241" s="264"/>
      <c r="D241" s="264"/>
      <c r="E241" s="265"/>
      <c r="F241" s="265"/>
      <c r="G241" s="266"/>
      <c r="H241" s="266"/>
      <c r="I241" s="266"/>
      <c r="J241" s="242"/>
      <c r="K241" s="242"/>
      <c r="L241" s="242"/>
      <c r="M241" s="241"/>
      <c r="N241" s="242"/>
    </row>
    <row r="242" spans="1:14" x14ac:dyDescent="0.2">
      <c r="A242" s="263"/>
      <c r="B242" s="246"/>
      <c r="C242" s="264"/>
      <c r="D242" s="264"/>
      <c r="E242" s="265"/>
      <c r="F242" s="265"/>
      <c r="G242" s="266"/>
      <c r="H242" s="266"/>
      <c r="I242" s="266"/>
      <c r="J242" s="242"/>
      <c r="K242" s="242"/>
      <c r="L242" s="242"/>
      <c r="M242" s="241"/>
      <c r="N242" s="242"/>
    </row>
    <row r="243" spans="1:14" x14ac:dyDescent="0.2">
      <c r="A243" s="263"/>
      <c r="B243" s="246"/>
      <c r="C243" s="264"/>
      <c r="D243" s="264"/>
      <c r="E243" s="265"/>
      <c r="F243" s="265"/>
      <c r="G243" s="266"/>
      <c r="H243" s="266"/>
      <c r="I243" s="266"/>
      <c r="J243" s="242"/>
      <c r="K243" s="242"/>
      <c r="L243" s="242"/>
      <c r="M243" s="241"/>
      <c r="N243" s="242"/>
    </row>
    <row r="244" spans="1:14" x14ac:dyDescent="0.2">
      <c r="A244" s="263"/>
      <c r="B244" s="246"/>
      <c r="C244" s="264"/>
      <c r="D244" s="264"/>
      <c r="E244" s="265"/>
      <c r="F244" s="265"/>
      <c r="G244" s="266"/>
      <c r="H244" s="266"/>
      <c r="I244" s="266"/>
      <c r="J244" s="242"/>
      <c r="K244" s="242"/>
      <c r="L244" s="242"/>
      <c r="M244" s="241"/>
      <c r="N244" s="242"/>
    </row>
    <row r="245" spans="1:14" x14ac:dyDescent="0.2">
      <c r="A245" s="263"/>
      <c r="B245" s="246"/>
      <c r="C245" s="264"/>
      <c r="D245" s="264"/>
      <c r="E245" s="265"/>
      <c r="F245" s="265"/>
      <c r="G245" s="266"/>
      <c r="H245" s="266"/>
      <c r="I245" s="266"/>
      <c r="J245" s="242"/>
      <c r="K245" s="242"/>
      <c r="L245" s="242"/>
      <c r="M245" s="241"/>
      <c r="N245" s="242"/>
    </row>
    <row r="246" spans="1:14" x14ac:dyDescent="0.2">
      <c r="A246" s="263"/>
      <c r="B246" s="246"/>
      <c r="C246" s="264"/>
      <c r="D246" s="264"/>
      <c r="E246" s="265"/>
      <c r="F246" s="265"/>
      <c r="G246" s="266"/>
      <c r="H246" s="266"/>
      <c r="I246" s="266"/>
      <c r="J246" s="242"/>
      <c r="K246" s="242"/>
      <c r="L246" s="242"/>
      <c r="M246" s="241"/>
      <c r="N246" s="242"/>
    </row>
    <row r="247" spans="1:14" x14ac:dyDescent="0.2">
      <c r="A247" s="263"/>
      <c r="B247" s="246"/>
      <c r="C247" s="264"/>
      <c r="D247" s="264"/>
      <c r="E247" s="265"/>
      <c r="F247" s="265"/>
      <c r="G247" s="266"/>
      <c r="H247" s="266"/>
      <c r="I247" s="266"/>
      <c r="J247" s="242"/>
      <c r="K247" s="242"/>
      <c r="L247" s="242"/>
      <c r="M247" s="241"/>
      <c r="N247" s="242"/>
    </row>
    <row r="248" spans="1:14" x14ac:dyDescent="0.2">
      <c r="A248" s="263"/>
      <c r="B248" s="246"/>
      <c r="C248" s="264"/>
      <c r="D248" s="264"/>
      <c r="E248" s="265"/>
      <c r="F248" s="265"/>
      <c r="G248" s="266"/>
      <c r="H248" s="266"/>
      <c r="I248" s="266"/>
      <c r="J248" s="242"/>
      <c r="K248" s="242"/>
      <c r="L248" s="242"/>
      <c r="M248" s="241"/>
      <c r="N248" s="242"/>
    </row>
    <row r="249" spans="1:14" x14ac:dyDescent="0.2">
      <c r="A249" s="263"/>
      <c r="B249" s="246"/>
      <c r="C249" s="264"/>
      <c r="D249" s="264"/>
      <c r="E249" s="265"/>
      <c r="F249" s="265"/>
      <c r="G249" s="266"/>
      <c r="H249" s="266"/>
      <c r="I249" s="266"/>
      <c r="J249" s="242"/>
      <c r="K249" s="242"/>
      <c r="L249" s="242"/>
      <c r="M249" s="241"/>
      <c r="N249" s="242"/>
    </row>
    <row r="250" spans="1:14" x14ac:dyDescent="0.2">
      <c r="A250" s="263"/>
      <c r="B250" s="246"/>
      <c r="C250" s="264"/>
      <c r="D250" s="264"/>
      <c r="E250" s="265"/>
      <c r="F250" s="265"/>
      <c r="G250" s="266"/>
      <c r="H250" s="266"/>
      <c r="I250" s="266"/>
      <c r="J250" s="242"/>
      <c r="K250" s="242"/>
      <c r="L250" s="242"/>
      <c r="M250" s="241"/>
      <c r="N250" s="242"/>
    </row>
    <row r="251" spans="1:14" x14ac:dyDescent="0.2">
      <c r="A251" s="263"/>
      <c r="B251" s="246"/>
      <c r="C251" s="264"/>
      <c r="D251" s="264"/>
      <c r="E251" s="265"/>
      <c r="F251" s="265"/>
      <c r="G251" s="266"/>
      <c r="H251" s="266"/>
      <c r="I251" s="266"/>
      <c r="J251" s="242"/>
      <c r="K251" s="242"/>
      <c r="L251" s="242"/>
      <c r="M251" s="241"/>
      <c r="N251" s="242"/>
    </row>
    <row r="252" spans="1:14" x14ac:dyDescent="0.2">
      <c r="A252" s="263"/>
      <c r="B252" s="246"/>
      <c r="C252" s="264"/>
      <c r="D252" s="264"/>
      <c r="E252" s="265"/>
      <c r="F252" s="265"/>
      <c r="G252" s="266"/>
      <c r="H252" s="266"/>
      <c r="I252" s="266"/>
      <c r="J252" s="242"/>
      <c r="K252" s="242"/>
      <c r="L252" s="242"/>
      <c r="M252" s="241"/>
      <c r="N252" s="242"/>
    </row>
    <row r="253" spans="1:14" x14ac:dyDescent="0.2">
      <c r="A253" s="263"/>
      <c r="B253" s="246"/>
      <c r="C253" s="264"/>
      <c r="D253" s="264"/>
      <c r="E253" s="265"/>
      <c r="F253" s="265"/>
      <c r="G253" s="266"/>
      <c r="H253" s="266"/>
      <c r="I253" s="266"/>
      <c r="J253" s="242"/>
      <c r="K253" s="242"/>
      <c r="L253" s="242"/>
      <c r="M253" s="241"/>
      <c r="N253" s="242"/>
    </row>
    <row r="254" spans="1:14" x14ac:dyDescent="0.2">
      <c r="A254" s="263"/>
      <c r="B254" s="246"/>
      <c r="C254" s="264"/>
      <c r="D254" s="264"/>
      <c r="E254" s="265"/>
      <c r="F254" s="265"/>
      <c r="G254" s="266"/>
      <c r="H254" s="266"/>
      <c r="I254" s="266"/>
      <c r="J254" s="242"/>
      <c r="K254" s="242"/>
      <c r="L254" s="242"/>
      <c r="M254" s="241"/>
      <c r="N254" s="242"/>
    </row>
    <row r="255" spans="1:14" x14ac:dyDescent="0.2">
      <c r="A255" s="263"/>
      <c r="B255" s="246"/>
      <c r="C255" s="264"/>
      <c r="D255" s="264"/>
      <c r="E255" s="265"/>
      <c r="F255" s="265"/>
      <c r="G255" s="266"/>
      <c r="H255" s="266"/>
      <c r="I255" s="266"/>
      <c r="J255" s="242"/>
      <c r="K255" s="242"/>
      <c r="L255" s="242"/>
      <c r="M255" s="241"/>
      <c r="N255" s="242"/>
    </row>
    <row r="256" spans="1:14" x14ac:dyDescent="0.2">
      <c r="A256" s="263"/>
      <c r="B256" s="246"/>
      <c r="C256" s="264"/>
      <c r="D256" s="264"/>
      <c r="E256" s="265"/>
      <c r="F256" s="265"/>
      <c r="G256" s="266"/>
      <c r="H256" s="266"/>
      <c r="I256" s="266"/>
      <c r="J256" s="242"/>
      <c r="K256" s="242"/>
      <c r="L256" s="242"/>
      <c r="M256" s="241"/>
      <c r="N256" s="242"/>
    </row>
    <row r="257" spans="1:14" x14ac:dyDescent="0.2">
      <c r="A257" s="263"/>
      <c r="B257" s="246"/>
      <c r="C257" s="264"/>
      <c r="D257" s="264"/>
      <c r="E257" s="265"/>
      <c r="F257" s="265"/>
      <c r="G257" s="266"/>
      <c r="H257" s="266"/>
      <c r="I257" s="266"/>
      <c r="J257" s="242"/>
      <c r="K257" s="242"/>
      <c r="L257" s="242"/>
      <c r="M257" s="241"/>
      <c r="N257" s="242"/>
    </row>
    <row r="258" spans="1:14" x14ac:dyDescent="0.2">
      <c r="A258" s="263"/>
      <c r="B258" s="246"/>
      <c r="C258" s="264"/>
      <c r="D258" s="264"/>
      <c r="E258" s="265"/>
      <c r="F258" s="265"/>
      <c r="G258" s="266"/>
      <c r="H258" s="266"/>
      <c r="I258" s="266"/>
      <c r="J258" s="242"/>
      <c r="K258" s="242"/>
      <c r="L258" s="242"/>
      <c r="M258" s="241"/>
      <c r="N258" s="242"/>
    </row>
    <row r="259" spans="1:14" x14ac:dyDescent="0.2">
      <c r="A259" s="263"/>
      <c r="B259" s="246"/>
      <c r="C259" s="264"/>
      <c r="D259" s="264"/>
      <c r="E259" s="265"/>
      <c r="F259" s="265"/>
      <c r="G259" s="266"/>
      <c r="H259" s="266"/>
      <c r="I259" s="266"/>
      <c r="J259" s="242"/>
      <c r="K259" s="242"/>
      <c r="L259" s="242"/>
      <c r="M259" s="241"/>
      <c r="N259" s="242"/>
    </row>
    <row r="260" spans="1:14" x14ac:dyDescent="0.2">
      <c r="A260" s="263"/>
      <c r="B260" s="246"/>
      <c r="C260" s="264"/>
      <c r="D260" s="264"/>
      <c r="E260" s="265"/>
      <c r="F260" s="265"/>
      <c r="G260" s="266"/>
      <c r="H260" s="266"/>
      <c r="I260" s="266"/>
      <c r="J260" s="242"/>
      <c r="K260" s="242"/>
      <c r="L260" s="242"/>
      <c r="M260" s="241"/>
      <c r="N260" s="242"/>
    </row>
    <row r="261" spans="1:14" x14ac:dyDescent="0.2">
      <c r="A261" s="263"/>
      <c r="B261" s="246"/>
      <c r="C261" s="264"/>
      <c r="D261" s="264"/>
      <c r="E261" s="265"/>
      <c r="F261" s="265"/>
      <c r="G261" s="266"/>
      <c r="H261" s="266"/>
      <c r="I261" s="266"/>
      <c r="J261" s="242"/>
      <c r="K261" s="242"/>
      <c r="L261" s="242"/>
      <c r="M261" s="241"/>
      <c r="N261" s="242"/>
    </row>
    <row r="262" spans="1:14" x14ac:dyDescent="0.2">
      <c r="A262" s="263"/>
      <c r="B262" s="246"/>
      <c r="C262" s="264"/>
      <c r="D262" s="264"/>
      <c r="E262" s="265"/>
      <c r="F262" s="265"/>
      <c r="G262" s="266"/>
      <c r="H262" s="266"/>
      <c r="I262" s="266"/>
      <c r="J262" s="242"/>
      <c r="K262" s="242"/>
      <c r="L262" s="242"/>
      <c r="M262" s="241"/>
      <c r="N262" s="242"/>
    </row>
    <row r="263" spans="1:14" x14ac:dyDescent="0.2">
      <c r="A263" s="263"/>
      <c r="B263" s="246"/>
      <c r="C263" s="264"/>
      <c r="D263" s="264"/>
      <c r="E263" s="265"/>
      <c r="F263" s="265"/>
      <c r="G263" s="266"/>
      <c r="H263" s="266"/>
      <c r="I263" s="266"/>
      <c r="J263" s="242"/>
      <c r="K263" s="242"/>
      <c r="L263" s="242"/>
      <c r="M263" s="241"/>
      <c r="N263" s="242"/>
    </row>
    <row r="264" spans="1:14" x14ac:dyDescent="0.2">
      <c r="A264" s="263"/>
      <c r="B264" s="246"/>
      <c r="C264" s="264"/>
      <c r="D264" s="264"/>
      <c r="E264" s="265"/>
      <c r="F264" s="265"/>
      <c r="G264" s="266"/>
      <c r="H264" s="266"/>
      <c r="I264" s="266"/>
      <c r="J264" s="242"/>
      <c r="K264" s="242"/>
      <c r="L264" s="242"/>
      <c r="M264" s="241"/>
      <c r="N264" s="242"/>
    </row>
    <row r="265" spans="1:14" x14ac:dyDescent="0.2">
      <c r="A265" s="263"/>
      <c r="B265" s="246"/>
      <c r="C265" s="264"/>
      <c r="D265" s="264"/>
      <c r="E265" s="265"/>
      <c r="F265" s="265"/>
      <c r="G265" s="266"/>
      <c r="H265" s="266"/>
      <c r="I265" s="266"/>
      <c r="J265" s="242"/>
      <c r="K265" s="242"/>
      <c r="L265" s="242"/>
      <c r="M265" s="241"/>
      <c r="N265" s="242"/>
    </row>
    <row r="266" spans="1:14" x14ac:dyDescent="0.2">
      <c r="A266" s="263"/>
      <c r="B266" s="246"/>
      <c r="C266" s="264"/>
      <c r="D266" s="264"/>
      <c r="E266" s="265"/>
      <c r="F266" s="265"/>
      <c r="G266" s="266"/>
      <c r="H266" s="266"/>
      <c r="I266" s="266"/>
      <c r="J266" s="242"/>
      <c r="K266" s="242"/>
      <c r="L266" s="242"/>
      <c r="M266" s="241"/>
      <c r="N266" s="242"/>
    </row>
    <row r="267" spans="1:14" x14ac:dyDescent="0.2">
      <c r="A267" s="263"/>
      <c r="B267" s="246"/>
      <c r="C267" s="264"/>
      <c r="D267" s="264"/>
      <c r="E267" s="265"/>
      <c r="F267" s="265"/>
      <c r="G267" s="266"/>
      <c r="H267" s="266"/>
      <c r="I267" s="266"/>
      <c r="J267" s="242"/>
      <c r="K267" s="242"/>
      <c r="L267" s="242"/>
      <c r="M267" s="241"/>
      <c r="N267" s="242"/>
    </row>
    <row r="268" spans="1:14" x14ac:dyDescent="0.2">
      <c r="A268" s="263"/>
      <c r="B268" s="246"/>
      <c r="C268" s="264"/>
      <c r="D268" s="264"/>
      <c r="E268" s="265"/>
      <c r="F268" s="265"/>
      <c r="G268" s="266"/>
      <c r="H268" s="266"/>
      <c r="I268" s="266"/>
      <c r="J268" s="242"/>
      <c r="K268" s="242"/>
      <c r="L268" s="242"/>
      <c r="M268" s="241"/>
      <c r="N268" s="242"/>
    </row>
    <row r="269" spans="1:14" x14ac:dyDescent="0.2">
      <c r="A269" s="263"/>
      <c r="B269" s="246"/>
      <c r="C269" s="264"/>
      <c r="D269" s="264"/>
      <c r="E269" s="265"/>
      <c r="F269" s="265"/>
      <c r="G269" s="266"/>
      <c r="H269" s="266"/>
      <c r="I269" s="266"/>
      <c r="J269" s="242"/>
      <c r="K269" s="242"/>
      <c r="L269" s="242"/>
      <c r="M269" s="241"/>
      <c r="N269" s="242"/>
    </row>
    <row r="270" spans="1:14" x14ac:dyDescent="0.2">
      <c r="A270" s="263"/>
      <c r="B270" s="246"/>
      <c r="C270" s="264"/>
      <c r="D270" s="264"/>
      <c r="E270" s="265"/>
      <c r="F270" s="265"/>
      <c r="G270" s="266"/>
      <c r="H270" s="266"/>
      <c r="I270" s="266"/>
      <c r="J270" s="242"/>
      <c r="K270" s="242"/>
      <c r="L270" s="242"/>
      <c r="M270" s="241"/>
      <c r="N270" s="242"/>
    </row>
    <row r="271" spans="1:14" x14ac:dyDescent="0.2">
      <c r="A271" s="263"/>
      <c r="B271" s="246"/>
      <c r="C271" s="264"/>
      <c r="D271" s="264"/>
      <c r="E271" s="265"/>
      <c r="F271" s="265"/>
      <c r="G271" s="266"/>
      <c r="H271" s="266"/>
      <c r="I271" s="266"/>
      <c r="J271" s="242"/>
      <c r="K271" s="242"/>
      <c r="L271" s="242"/>
      <c r="M271" s="241"/>
      <c r="N271" s="242"/>
    </row>
    <row r="272" spans="1:14" x14ac:dyDescent="0.2">
      <c r="A272" s="263"/>
      <c r="B272" s="246"/>
      <c r="C272" s="264"/>
      <c r="D272" s="264"/>
      <c r="E272" s="265"/>
      <c r="F272" s="265"/>
      <c r="G272" s="266"/>
      <c r="H272" s="266"/>
      <c r="I272" s="266"/>
      <c r="J272" s="242"/>
      <c r="K272" s="242"/>
      <c r="L272" s="242"/>
      <c r="M272" s="241"/>
      <c r="N272" s="242"/>
    </row>
    <row r="273" spans="1:14" x14ac:dyDescent="0.2">
      <c r="A273" s="263"/>
      <c r="B273" s="246"/>
      <c r="C273" s="264"/>
      <c r="D273" s="264"/>
      <c r="E273" s="265"/>
      <c r="F273" s="265"/>
      <c r="G273" s="266"/>
      <c r="H273" s="266"/>
      <c r="I273" s="266"/>
      <c r="J273" s="242"/>
      <c r="K273" s="242"/>
      <c r="L273" s="242"/>
      <c r="M273" s="241"/>
      <c r="N273" s="242"/>
    </row>
    <row r="274" spans="1:14" x14ac:dyDescent="0.2">
      <c r="A274" s="263"/>
      <c r="B274" s="246"/>
      <c r="C274" s="264"/>
      <c r="D274" s="264"/>
      <c r="E274" s="265"/>
      <c r="F274" s="265"/>
      <c r="G274" s="266"/>
      <c r="H274" s="266"/>
      <c r="I274" s="266"/>
      <c r="J274" s="242"/>
      <c r="K274" s="242"/>
      <c r="L274" s="242"/>
      <c r="M274" s="241"/>
      <c r="N274" s="242"/>
    </row>
    <row r="275" spans="1:14" x14ac:dyDescent="0.2">
      <c r="A275" s="263"/>
      <c r="B275" s="246"/>
      <c r="C275" s="264"/>
      <c r="D275" s="264"/>
      <c r="E275" s="265"/>
      <c r="F275" s="265"/>
      <c r="G275" s="266"/>
      <c r="H275" s="266"/>
      <c r="I275" s="266"/>
      <c r="J275" s="242"/>
      <c r="K275" s="242"/>
      <c r="L275" s="242"/>
      <c r="M275" s="241"/>
      <c r="N275" s="242"/>
    </row>
    <row r="276" spans="1:14" x14ac:dyDescent="0.2">
      <c r="A276" s="263"/>
      <c r="B276" s="246"/>
      <c r="C276" s="264"/>
      <c r="D276" s="264"/>
      <c r="E276" s="265"/>
      <c r="F276" s="265"/>
      <c r="G276" s="266"/>
      <c r="H276" s="266"/>
      <c r="I276" s="266"/>
      <c r="J276" s="242"/>
      <c r="K276" s="242"/>
      <c r="L276" s="242"/>
      <c r="M276" s="241"/>
      <c r="N276" s="242"/>
    </row>
    <row r="277" spans="1:14" x14ac:dyDescent="0.2">
      <c r="A277" s="263"/>
      <c r="B277" s="246"/>
      <c r="C277" s="264"/>
      <c r="D277" s="264"/>
      <c r="E277" s="265"/>
      <c r="F277" s="265"/>
      <c r="G277" s="266"/>
      <c r="H277" s="266"/>
      <c r="I277" s="266"/>
      <c r="J277" s="242"/>
      <c r="K277" s="242"/>
      <c r="L277" s="242"/>
      <c r="M277" s="241"/>
      <c r="N277" s="242"/>
    </row>
    <row r="278" spans="1:14" x14ac:dyDescent="0.2">
      <c r="A278" s="263"/>
      <c r="B278" s="246"/>
      <c r="C278" s="264"/>
      <c r="D278" s="264"/>
      <c r="E278" s="265"/>
      <c r="F278" s="265"/>
      <c r="G278" s="266"/>
      <c r="H278" s="266"/>
      <c r="I278" s="266"/>
      <c r="J278" s="242"/>
      <c r="K278" s="242"/>
      <c r="L278" s="242"/>
      <c r="M278" s="241"/>
      <c r="N278" s="242"/>
    </row>
    <row r="279" spans="1:14" x14ac:dyDescent="0.2">
      <c r="A279" s="263"/>
      <c r="B279" s="246"/>
      <c r="C279" s="264"/>
      <c r="D279" s="264"/>
      <c r="E279" s="265"/>
      <c r="F279" s="265"/>
      <c r="G279" s="266"/>
      <c r="H279" s="266"/>
      <c r="I279" s="266"/>
      <c r="J279" s="242"/>
      <c r="K279" s="242"/>
      <c r="L279" s="242"/>
      <c r="M279" s="241"/>
      <c r="N279" s="242"/>
    </row>
    <row r="280" spans="1:14" x14ac:dyDescent="0.2">
      <c r="A280" s="263"/>
      <c r="B280" s="246"/>
      <c r="C280" s="264"/>
      <c r="D280" s="264"/>
      <c r="E280" s="265"/>
      <c r="F280" s="265"/>
      <c r="G280" s="266"/>
      <c r="H280" s="266"/>
      <c r="I280" s="266"/>
      <c r="J280" s="242"/>
      <c r="K280" s="242"/>
      <c r="L280" s="242"/>
      <c r="M280" s="241"/>
      <c r="N280" s="242"/>
    </row>
    <row r="281" spans="1:14" x14ac:dyDescent="0.2">
      <c r="A281" s="263"/>
      <c r="B281" s="246"/>
      <c r="C281" s="264"/>
      <c r="D281" s="264"/>
      <c r="E281" s="265"/>
      <c r="F281" s="265"/>
      <c r="G281" s="266"/>
      <c r="H281" s="266"/>
      <c r="I281" s="266"/>
      <c r="J281" s="242"/>
      <c r="K281" s="242"/>
      <c r="L281" s="242"/>
      <c r="M281" s="241"/>
      <c r="N281" s="242"/>
    </row>
    <row r="282" spans="1:14" x14ac:dyDescent="0.2">
      <c r="A282" s="263"/>
      <c r="B282" s="246"/>
      <c r="C282" s="264"/>
      <c r="D282" s="264"/>
      <c r="E282" s="265"/>
      <c r="F282" s="265"/>
      <c r="G282" s="266"/>
      <c r="H282" s="266"/>
      <c r="I282" s="266"/>
      <c r="J282" s="242"/>
      <c r="K282" s="242"/>
      <c r="L282" s="242"/>
      <c r="M282" s="241"/>
      <c r="N282" s="242"/>
    </row>
    <row r="283" spans="1:14" x14ac:dyDescent="0.2">
      <c r="A283" s="263"/>
      <c r="B283" s="246"/>
      <c r="C283" s="264"/>
      <c r="D283" s="264"/>
      <c r="E283" s="265"/>
      <c r="F283" s="265"/>
      <c r="G283" s="266"/>
      <c r="H283" s="266"/>
      <c r="I283" s="266"/>
      <c r="J283" s="242"/>
      <c r="K283" s="242"/>
      <c r="L283" s="242"/>
      <c r="M283" s="241"/>
      <c r="N283" s="242"/>
    </row>
    <row r="284" spans="1:14" x14ac:dyDescent="0.2">
      <c r="A284" s="263"/>
      <c r="B284" s="246"/>
      <c r="C284" s="264"/>
      <c r="D284" s="264"/>
      <c r="E284" s="265"/>
      <c r="F284" s="265"/>
      <c r="G284" s="266"/>
      <c r="H284" s="266"/>
      <c r="I284" s="266"/>
      <c r="J284" s="242"/>
      <c r="K284" s="242"/>
      <c r="L284" s="242"/>
      <c r="M284" s="241"/>
      <c r="N284" s="242"/>
    </row>
    <row r="285" spans="1:14" x14ac:dyDescent="0.2">
      <c r="A285" s="263"/>
      <c r="B285" s="246"/>
      <c r="C285" s="264"/>
      <c r="D285" s="264"/>
      <c r="E285" s="265"/>
      <c r="F285" s="265"/>
      <c r="G285" s="266"/>
      <c r="H285" s="266"/>
      <c r="I285" s="266"/>
      <c r="J285" s="242"/>
      <c r="K285" s="242"/>
      <c r="L285" s="242"/>
      <c r="M285" s="241"/>
      <c r="N285" s="242"/>
    </row>
    <row r="286" spans="1:14" x14ac:dyDescent="0.2">
      <c r="A286" s="263"/>
      <c r="B286" s="246"/>
      <c r="C286" s="264"/>
      <c r="D286" s="264"/>
      <c r="E286" s="265"/>
      <c r="F286" s="265"/>
      <c r="G286" s="266"/>
      <c r="H286" s="266"/>
      <c r="I286" s="266"/>
      <c r="J286" s="242"/>
      <c r="K286" s="242"/>
      <c r="L286" s="242"/>
      <c r="M286" s="241"/>
      <c r="N286" s="242"/>
    </row>
    <row r="287" spans="1:14" x14ac:dyDescent="0.2">
      <c r="A287" s="263"/>
      <c r="B287" s="246"/>
      <c r="C287" s="264"/>
      <c r="D287" s="264"/>
      <c r="E287" s="265"/>
      <c r="F287" s="265"/>
      <c r="G287" s="266"/>
      <c r="H287" s="266"/>
      <c r="I287" s="266"/>
      <c r="J287" s="242"/>
      <c r="K287" s="242"/>
      <c r="L287" s="242"/>
      <c r="M287" s="241"/>
      <c r="N287" s="242"/>
    </row>
    <row r="288" spans="1:14" x14ac:dyDescent="0.2">
      <c r="A288" s="263"/>
      <c r="B288" s="246"/>
      <c r="C288" s="264"/>
      <c r="D288" s="264"/>
      <c r="E288" s="265"/>
      <c r="F288" s="265"/>
      <c r="G288" s="266"/>
      <c r="H288" s="266"/>
      <c r="I288" s="266"/>
      <c r="J288" s="242"/>
      <c r="K288" s="242"/>
      <c r="L288" s="242"/>
      <c r="M288" s="241"/>
      <c r="N288" s="242"/>
    </row>
    <row r="289" spans="1:14" x14ac:dyDescent="0.2">
      <c r="A289" s="263"/>
      <c r="B289" s="246"/>
      <c r="C289" s="264"/>
      <c r="D289" s="264"/>
      <c r="E289" s="265"/>
      <c r="F289" s="265"/>
      <c r="G289" s="266"/>
      <c r="H289" s="266"/>
      <c r="I289" s="266"/>
      <c r="J289" s="242"/>
      <c r="K289" s="242"/>
      <c r="L289" s="242"/>
      <c r="M289" s="241"/>
      <c r="N289" s="242"/>
    </row>
    <row r="290" spans="1:14" x14ac:dyDescent="0.2">
      <c r="A290" s="263"/>
      <c r="B290" s="246"/>
      <c r="C290" s="264"/>
      <c r="D290" s="264"/>
      <c r="E290" s="265"/>
      <c r="F290" s="265"/>
      <c r="G290" s="266"/>
      <c r="H290" s="266"/>
      <c r="I290" s="266"/>
      <c r="J290" s="242"/>
      <c r="K290" s="242"/>
      <c r="L290" s="242"/>
      <c r="M290" s="241"/>
      <c r="N290" s="242"/>
    </row>
    <row r="291" spans="1:14" x14ac:dyDescent="0.2">
      <c r="A291" s="263"/>
      <c r="B291" s="246"/>
      <c r="C291" s="264"/>
      <c r="D291" s="264"/>
      <c r="E291" s="265"/>
      <c r="F291" s="265"/>
      <c r="G291" s="266"/>
      <c r="H291" s="266"/>
      <c r="I291" s="266"/>
      <c r="J291" s="242"/>
      <c r="K291" s="242"/>
      <c r="L291" s="242"/>
      <c r="M291" s="241"/>
      <c r="N291" s="242"/>
    </row>
    <row r="292" spans="1:14" x14ac:dyDescent="0.2">
      <c r="A292" s="263"/>
      <c r="B292" s="246"/>
      <c r="C292" s="264"/>
      <c r="D292" s="264"/>
      <c r="E292" s="265"/>
      <c r="F292" s="265"/>
      <c r="G292" s="266"/>
      <c r="H292" s="266"/>
      <c r="I292" s="266"/>
      <c r="J292" s="242"/>
      <c r="K292" s="242"/>
      <c r="L292" s="242"/>
      <c r="M292" s="241"/>
      <c r="N292" s="242"/>
    </row>
    <row r="293" spans="1:14" x14ac:dyDescent="0.2">
      <c r="A293" s="263"/>
      <c r="B293" s="246"/>
      <c r="C293" s="264"/>
      <c r="D293" s="264"/>
      <c r="E293" s="265"/>
      <c r="F293" s="265"/>
      <c r="G293" s="266"/>
      <c r="H293" s="266"/>
      <c r="I293" s="266"/>
      <c r="J293" s="242"/>
      <c r="K293" s="242"/>
      <c r="L293" s="242"/>
      <c r="M293" s="241"/>
      <c r="N293" s="242"/>
    </row>
    <row r="294" spans="1:14" x14ac:dyDescent="0.2">
      <c r="A294" s="263"/>
      <c r="B294" s="246"/>
      <c r="C294" s="264"/>
      <c r="D294" s="264"/>
      <c r="E294" s="265"/>
      <c r="F294" s="265"/>
      <c r="G294" s="266"/>
      <c r="H294" s="266"/>
      <c r="I294" s="266"/>
      <c r="J294" s="242"/>
      <c r="K294" s="242"/>
      <c r="L294" s="242"/>
      <c r="M294" s="241"/>
      <c r="N294" s="242"/>
    </row>
    <row r="295" spans="1:14" x14ac:dyDescent="0.2">
      <c r="A295" s="263"/>
      <c r="B295" s="246"/>
      <c r="C295" s="264"/>
      <c r="D295" s="264"/>
      <c r="E295" s="265"/>
      <c r="F295" s="265"/>
      <c r="G295" s="266"/>
      <c r="H295" s="266"/>
      <c r="I295" s="266"/>
      <c r="J295" s="242"/>
      <c r="K295" s="242"/>
      <c r="L295" s="242"/>
      <c r="M295" s="241"/>
      <c r="N295" s="242"/>
    </row>
    <row r="296" spans="1:14" x14ac:dyDescent="0.2">
      <c r="A296" s="263"/>
      <c r="B296" s="246"/>
      <c r="C296" s="264"/>
      <c r="D296" s="264"/>
      <c r="E296" s="265"/>
      <c r="F296" s="265"/>
      <c r="G296" s="266"/>
      <c r="H296" s="266"/>
      <c r="I296" s="266"/>
      <c r="J296" s="242"/>
      <c r="K296" s="242"/>
      <c r="L296" s="242"/>
      <c r="M296" s="241"/>
      <c r="N296" s="242"/>
    </row>
    <row r="297" spans="1:14" x14ac:dyDescent="0.2">
      <c r="A297" s="263"/>
      <c r="B297" s="246"/>
      <c r="C297" s="264"/>
      <c r="D297" s="264"/>
      <c r="E297" s="265"/>
      <c r="F297" s="265"/>
      <c r="G297" s="266"/>
      <c r="H297" s="266"/>
      <c r="I297" s="266"/>
      <c r="J297" s="242"/>
      <c r="K297" s="242"/>
      <c r="L297" s="242"/>
      <c r="M297" s="241"/>
      <c r="N297" s="242"/>
    </row>
    <row r="298" spans="1:14" x14ac:dyDescent="0.2">
      <c r="A298" s="263"/>
      <c r="B298" s="246"/>
      <c r="C298" s="264"/>
      <c r="D298" s="264"/>
      <c r="E298" s="265"/>
      <c r="F298" s="265"/>
      <c r="G298" s="266"/>
      <c r="H298" s="266"/>
      <c r="I298" s="266"/>
      <c r="J298" s="242"/>
      <c r="K298" s="242"/>
      <c r="L298" s="242"/>
      <c r="M298" s="241"/>
      <c r="N298" s="242"/>
    </row>
    <row r="299" spans="1:14" x14ac:dyDescent="0.2">
      <c r="A299" s="263"/>
      <c r="B299" s="246"/>
      <c r="C299" s="264"/>
      <c r="D299" s="264"/>
      <c r="E299" s="265"/>
      <c r="F299" s="265"/>
      <c r="G299" s="266"/>
      <c r="H299" s="266"/>
      <c r="I299" s="266"/>
      <c r="J299" s="242"/>
      <c r="K299" s="242"/>
      <c r="L299" s="242"/>
      <c r="M299" s="241"/>
      <c r="N299" s="242"/>
    </row>
    <row r="300" spans="1:14" x14ac:dyDescent="0.2">
      <c r="A300" s="263"/>
      <c r="B300" s="246"/>
      <c r="C300" s="264"/>
      <c r="D300" s="264"/>
      <c r="E300" s="265"/>
      <c r="F300" s="265"/>
      <c r="G300" s="266"/>
      <c r="H300" s="266"/>
      <c r="I300" s="266"/>
      <c r="J300" s="242"/>
      <c r="K300" s="242"/>
      <c r="L300" s="242"/>
      <c r="M300" s="241"/>
      <c r="N300" s="242"/>
    </row>
    <row r="301" spans="1:14" x14ac:dyDescent="0.2">
      <c r="A301" s="263"/>
      <c r="B301" s="246"/>
      <c r="C301" s="264"/>
      <c r="D301" s="264"/>
      <c r="E301" s="265"/>
      <c r="F301" s="265"/>
      <c r="G301" s="266"/>
      <c r="H301" s="266"/>
      <c r="I301" s="266"/>
      <c r="J301" s="242"/>
      <c r="K301" s="242"/>
      <c r="L301" s="242"/>
      <c r="M301" s="241"/>
      <c r="N301" s="242"/>
    </row>
    <row r="302" spans="1:14" x14ac:dyDescent="0.2">
      <c r="A302" s="263"/>
      <c r="B302" s="246"/>
      <c r="C302" s="264"/>
      <c r="D302" s="264"/>
      <c r="E302" s="265"/>
      <c r="F302" s="265"/>
      <c r="G302" s="266"/>
      <c r="H302" s="266"/>
      <c r="I302" s="266"/>
      <c r="J302" s="242"/>
      <c r="K302" s="242"/>
      <c r="L302" s="242"/>
      <c r="M302" s="241"/>
      <c r="N302" s="242"/>
    </row>
    <row r="303" spans="1:14" x14ac:dyDescent="0.2">
      <c r="A303" s="263"/>
      <c r="B303" s="246"/>
      <c r="C303" s="264"/>
      <c r="D303" s="264"/>
      <c r="E303" s="265"/>
      <c r="F303" s="265"/>
      <c r="G303" s="266"/>
      <c r="H303" s="266"/>
      <c r="I303" s="266"/>
      <c r="J303" s="242"/>
      <c r="K303" s="242"/>
      <c r="L303" s="242"/>
      <c r="M303" s="241"/>
      <c r="N303" s="242"/>
    </row>
    <row r="304" spans="1:14" x14ac:dyDescent="0.2">
      <c r="A304" s="263"/>
      <c r="B304" s="246"/>
      <c r="C304" s="264"/>
      <c r="D304" s="264"/>
      <c r="E304" s="265"/>
      <c r="F304" s="265"/>
      <c r="G304" s="266"/>
      <c r="H304" s="266"/>
      <c r="I304" s="266"/>
      <c r="J304" s="242"/>
      <c r="K304" s="242"/>
      <c r="L304" s="242"/>
      <c r="M304" s="241"/>
      <c r="N304" s="242"/>
    </row>
    <row r="305" spans="1:14" x14ac:dyDescent="0.2">
      <c r="A305" s="263"/>
      <c r="B305" s="246"/>
      <c r="C305" s="264"/>
      <c r="D305" s="264"/>
      <c r="E305" s="265"/>
      <c r="F305" s="265"/>
      <c r="G305" s="266"/>
      <c r="H305" s="266"/>
      <c r="I305" s="266"/>
      <c r="J305" s="242"/>
      <c r="K305" s="242"/>
      <c r="L305" s="242"/>
      <c r="M305" s="241"/>
      <c r="N305" s="242"/>
    </row>
    <row r="306" spans="1:14" x14ac:dyDescent="0.2">
      <c r="A306" s="263"/>
      <c r="B306" s="246"/>
      <c r="C306" s="264"/>
      <c r="D306" s="264"/>
      <c r="E306" s="265"/>
      <c r="F306" s="265"/>
      <c r="G306" s="266"/>
      <c r="H306" s="266"/>
      <c r="I306" s="266"/>
      <c r="J306" s="242"/>
      <c r="K306" s="242"/>
      <c r="L306" s="242"/>
      <c r="M306" s="241"/>
      <c r="N306" s="242"/>
    </row>
    <row r="307" spans="1:14" x14ac:dyDescent="0.2">
      <c r="A307" s="263"/>
      <c r="B307" s="246"/>
      <c r="C307" s="264"/>
      <c r="D307" s="264"/>
      <c r="E307" s="265"/>
      <c r="F307" s="265"/>
      <c r="G307" s="266"/>
      <c r="H307" s="266"/>
      <c r="I307" s="266"/>
      <c r="J307" s="242"/>
      <c r="K307" s="242"/>
      <c r="L307" s="242"/>
      <c r="M307" s="241"/>
      <c r="N307" s="242"/>
    </row>
    <row r="308" spans="1:14" x14ac:dyDescent="0.2">
      <c r="A308" s="263"/>
      <c r="B308" s="246"/>
      <c r="C308" s="264"/>
      <c r="D308" s="264"/>
      <c r="E308" s="265"/>
      <c r="F308" s="265"/>
      <c r="G308" s="266"/>
      <c r="H308" s="266"/>
      <c r="I308" s="266"/>
      <c r="J308" s="242"/>
      <c r="K308" s="242"/>
      <c r="L308" s="242"/>
      <c r="M308" s="241"/>
      <c r="N308" s="242"/>
    </row>
    <row r="309" spans="1:14" x14ac:dyDescent="0.2">
      <c r="A309" s="263"/>
      <c r="B309" s="246"/>
      <c r="C309" s="264"/>
      <c r="D309" s="264"/>
      <c r="E309" s="265"/>
      <c r="F309" s="265"/>
      <c r="G309" s="266"/>
      <c r="H309" s="266"/>
      <c r="I309" s="266"/>
      <c r="J309" s="242"/>
      <c r="K309" s="242"/>
      <c r="L309" s="242"/>
      <c r="M309" s="241"/>
      <c r="N309" s="242"/>
    </row>
    <row r="310" spans="1:14" x14ac:dyDescent="0.2">
      <c r="A310" s="263"/>
      <c r="B310" s="246"/>
      <c r="C310" s="264"/>
      <c r="D310" s="264"/>
      <c r="E310" s="265"/>
      <c r="F310" s="265"/>
      <c r="G310" s="266"/>
      <c r="H310" s="266"/>
      <c r="I310" s="266"/>
      <c r="J310" s="242"/>
      <c r="K310" s="242"/>
      <c r="L310" s="242"/>
      <c r="M310" s="241"/>
      <c r="N310" s="242"/>
    </row>
    <row r="311" spans="1:14" x14ac:dyDescent="0.2">
      <c r="A311" s="263"/>
      <c r="B311" s="246"/>
      <c r="C311" s="264"/>
      <c r="D311" s="264"/>
      <c r="E311" s="265"/>
      <c r="F311" s="265"/>
      <c r="G311" s="266"/>
      <c r="H311" s="266"/>
      <c r="I311" s="266"/>
      <c r="J311" s="242"/>
      <c r="K311" s="242"/>
      <c r="L311" s="242"/>
      <c r="M311" s="241"/>
      <c r="N311" s="242"/>
    </row>
    <row r="312" spans="1:14" x14ac:dyDescent="0.2">
      <c r="A312" s="263"/>
      <c r="B312" s="246"/>
      <c r="C312" s="264"/>
      <c r="D312" s="264"/>
      <c r="E312" s="265"/>
      <c r="F312" s="265"/>
      <c r="G312" s="266"/>
      <c r="H312" s="266"/>
      <c r="I312" s="266"/>
      <c r="J312" s="242"/>
      <c r="K312" s="242"/>
      <c r="L312" s="242"/>
      <c r="M312" s="241"/>
      <c r="N312" s="242"/>
    </row>
    <row r="313" spans="1:14" x14ac:dyDescent="0.2">
      <c r="A313" s="263"/>
      <c r="B313" s="246"/>
      <c r="C313" s="264"/>
      <c r="D313" s="264"/>
      <c r="E313" s="265"/>
      <c r="F313" s="265"/>
      <c r="G313" s="266"/>
      <c r="H313" s="266"/>
      <c r="I313" s="266"/>
      <c r="J313" s="242"/>
      <c r="K313" s="242"/>
      <c r="L313" s="242"/>
      <c r="M313" s="241"/>
      <c r="N313" s="242"/>
    </row>
    <row r="314" spans="1:14" x14ac:dyDescent="0.2">
      <c r="A314" s="263"/>
      <c r="B314" s="246"/>
      <c r="C314" s="264"/>
      <c r="D314" s="264"/>
      <c r="E314" s="265"/>
      <c r="F314" s="265"/>
      <c r="G314" s="266"/>
      <c r="H314" s="266"/>
      <c r="I314" s="266"/>
      <c r="J314" s="242"/>
      <c r="K314" s="242"/>
      <c r="L314" s="242"/>
      <c r="M314" s="241"/>
      <c r="N314" s="242"/>
    </row>
    <row r="315" spans="1:14" x14ac:dyDescent="0.2">
      <c r="A315" s="263"/>
      <c r="B315" s="246"/>
      <c r="C315" s="264"/>
      <c r="D315" s="264"/>
      <c r="E315" s="265"/>
      <c r="F315" s="265"/>
      <c r="G315" s="266"/>
      <c r="H315" s="266"/>
      <c r="I315" s="266"/>
      <c r="J315" s="242"/>
      <c r="K315" s="242"/>
      <c r="L315" s="242"/>
      <c r="M315" s="241"/>
      <c r="N315" s="242"/>
    </row>
    <row r="316" spans="1:14" x14ac:dyDescent="0.2">
      <c r="A316" s="263"/>
      <c r="B316" s="246"/>
      <c r="C316" s="264"/>
      <c r="D316" s="264"/>
      <c r="E316" s="265"/>
      <c r="F316" s="265"/>
      <c r="G316" s="266"/>
      <c r="H316" s="266"/>
      <c r="I316" s="266"/>
      <c r="J316" s="242"/>
      <c r="K316" s="242"/>
      <c r="L316" s="242"/>
      <c r="M316" s="241"/>
      <c r="N316" s="242"/>
    </row>
    <row r="317" spans="1:14" x14ac:dyDescent="0.2">
      <c r="A317" s="263"/>
      <c r="B317" s="246"/>
      <c r="C317" s="264"/>
      <c r="D317" s="264"/>
      <c r="E317" s="265"/>
      <c r="F317" s="265"/>
      <c r="G317" s="266"/>
      <c r="H317" s="266"/>
      <c r="I317" s="266"/>
      <c r="J317" s="242"/>
      <c r="K317" s="242"/>
      <c r="L317" s="242"/>
      <c r="M317" s="241"/>
      <c r="N317" s="242"/>
    </row>
    <row r="318" spans="1:14" x14ac:dyDescent="0.2">
      <c r="A318" s="263"/>
      <c r="B318" s="246"/>
      <c r="C318" s="264"/>
      <c r="D318" s="264"/>
      <c r="E318" s="265"/>
      <c r="F318" s="265"/>
      <c r="G318" s="266"/>
      <c r="H318" s="266"/>
      <c r="I318" s="266"/>
      <c r="J318" s="242"/>
      <c r="K318" s="242"/>
      <c r="L318" s="242"/>
      <c r="M318" s="241"/>
      <c r="N318" s="242"/>
    </row>
    <row r="319" spans="1:14" x14ac:dyDescent="0.2">
      <c r="A319" s="263"/>
      <c r="B319" s="246"/>
      <c r="C319" s="264"/>
      <c r="D319" s="264"/>
      <c r="E319" s="265"/>
      <c r="F319" s="265"/>
      <c r="G319" s="266"/>
      <c r="H319" s="266"/>
      <c r="I319" s="266"/>
      <c r="J319" s="242"/>
      <c r="K319" s="242"/>
      <c r="L319" s="242"/>
      <c r="M319" s="241"/>
      <c r="N319" s="242"/>
    </row>
    <row r="320" spans="1:14" x14ac:dyDescent="0.2">
      <c r="A320" s="263"/>
      <c r="B320" s="246"/>
      <c r="C320" s="264"/>
      <c r="D320" s="264"/>
      <c r="E320" s="265"/>
      <c r="F320" s="265"/>
      <c r="G320" s="266"/>
      <c r="H320" s="266"/>
      <c r="I320" s="266"/>
      <c r="J320" s="242"/>
      <c r="K320" s="242"/>
      <c r="L320" s="242"/>
      <c r="M320" s="241"/>
      <c r="N320" s="242"/>
    </row>
    <row r="321" spans="1:14" x14ac:dyDescent="0.2">
      <c r="A321" s="263"/>
      <c r="B321" s="246"/>
      <c r="C321" s="264"/>
      <c r="D321" s="264"/>
      <c r="E321" s="265"/>
      <c r="F321" s="265"/>
      <c r="G321" s="266"/>
      <c r="H321" s="266"/>
      <c r="I321" s="266"/>
      <c r="J321" s="242"/>
      <c r="K321" s="242"/>
      <c r="L321" s="242"/>
      <c r="M321" s="241"/>
      <c r="N321" s="242"/>
    </row>
    <row r="322" spans="1:14" x14ac:dyDescent="0.2">
      <c r="A322" s="263"/>
      <c r="B322" s="246"/>
      <c r="C322" s="264"/>
      <c r="D322" s="264"/>
      <c r="E322" s="265"/>
      <c r="F322" s="265"/>
      <c r="G322" s="266"/>
      <c r="H322" s="266"/>
      <c r="I322" s="266"/>
      <c r="J322" s="242"/>
      <c r="K322" s="242"/>
      <c r="L322" s="242"/>
      <c r="M322" s="241"/>
      <c r="N322" s="242"/>
    </row>
    <row r="323" spans="1:14" x14ac:dyDescent="0.2">
      <c r="A323" s="263"/>
      <c r="B323" s="246"/>
      <c r="C323" s="264"/>
      <c r="D323" s="264"/>
      <c r="E323" s="265"/>
      <c r="F323" s="265"/>
      <c r="G323" s="266"/>
      <c r="H323" s="266"/>
      <c r="I323" s="266"/>
      <c r="J323" s="242"/>
      <c r="K323" s="242"/>
      <c r="L323" s="242"/>
      <c r="M323" s="241"/>
      <c r="N323" s="242"/>
    </row>
    <row r="324" spans="1:14" x14ac:dyDescent="0.2">
      <c r="A324" s="263"/>
      <c r="B324" s="246"/>
      <c r="C324" s="264"/>
      <c r="D324" s="264"/>
      <c r="E324" s="265"/>
      <c r="F324" s="265"/>
      <c r="G324" s="266"/>
      <c r="H324" s="266"/>
      <c r="I324" s="266"/>
      <c r="J324" s="242"/>
      <c r="K324" s="242"/>
      <c r="L324" s="242"/>
      <c r="M324" s="241"/>
      <c r="N324" s="242"/>
    </row>
    <row r="325" spans="1:14" x14ac:dyDescent="0.2">
      <c r="A325" s="263"/>
      <c r="B325" s="246"/>
      <c r="C325" s="264"/>
      <c r="D325" s="264"/>
      <c r="E325" s="265"/>
      <c r="F325" s="265"/>
      <c r="G325" s="266"/>
      <c r="H325" s="266"/>
      <c r="I325" s="266"/>
      <c r="J325" s="242"/>
      <c r="K325" s="242"/>
      <c r="L325" s="242"/>
      <c r="M325" s="241"/>
      <c r="N325" s="242"/>
    </row>
    <row r="326" spans="1:14" x14ac:dyDescent="0.2">
      <c r="A326" s="263"/>
      <c r="B326" s="246"/>
      <c r="C326" s="264"/>
      <c r="D326" s="264"/>
      <c r="E326" s="265"/>
      <c r="F326" s="265"/>
      <c r="G326" s="266"/>
      <c r="H326" s="266"/>
      <c r="I326" s="266"/>
      <c r="J326" s="242"/>
      <c r="K326" s="242"/>
      <c r="L326" s="242"/>
      <c r="M326" s="241"/>
      <c r="N326" s="242"/>
    </row>
    <row r="327" spans="1:14" x14ac:dyDescent="0.2">
      <c r="A327" s="263"/>
      <c r="B327" s="246"/>
      <c r="C327" s="264"/>
      <c r="D327" s="264"/>
      <c r="E327" s="265"/>
      <c r="F327" s="265"/>
      <c r="G327" s="266"/>
      <c r="H327" s="266"/>
      <c r="I327" s="266"/>
      <c r="J327" s="242"/>
      <c r="K327" s="242"/>
      <c r="L327" s="242"/>
      <c r="M327" s="241"/>
      <c r="N327" s="242"/>
    </row>
    <row r="328" spans="1:14" x14ac:dyDescent="0.2">
      <c r="A328" s="263"/>
      <c r="B328" s="246"/>
      <c r="C328" s="264"/>
      <c r="D328" s="264"/>
      <c r="E328" s="265"/>
      <c r="F328" s="265"/>
      <c r="G328" s="266"/>
      <c r="H328" s="266"/>
      <c r="I328" s="266"/>
      <c r="J328" s="242"/>
      <c r="K328" s="242"/>
      <c r="L328" s="242"/>
      <c r="M328" s="241"/>
      <c r="N328" s="242"/>
    </row>
    <row r="329" spans="1:14" x14ac:dyDescent="0.2">
      <c r="A329" s="263"/>
      <c r="B329" s="246"/>
      <c r="C329" s="264"/>
      <c r="D329" s="264"/>
      <c r="E329" s="265"/>
      <c r="F329" s="265"/>
      <c r="G329" s="266"/>
      <c r="H329" s="266"/>
      <c r="I329" s="266"/>
      <c r="J329" s="242"/>
      <c r="K329" s="242"/>
      <c r="L329" s="242"/>
      <c r="M329" s="241"/>
      <c r="N329" s="242"/>
    </row>
    <row r="330" spans="1:14" x14ac:dyDescent="0.2">
      <c r="A330" s="263"/>
      <c r="B330" s="246"/>
      <c r="C330" s="264"/>
      <c r="D330" s="264"/>
      <c r="E330" s="265"/>
      <c r="F330" s="265"/>
      <c r="G330" s="266"/>
      <c r="H330" s="266"/>
      <c r="I330" s="266"/>
      <c r="J330" s="242"/>
      <c r="K330" s="242"/>
      <c r="L330" s="242"/>
      <c r="M330" s="241"/>
      <c r="N330" s="242"/>
    </row>
    <row r="331" spans="1:14" x14ac:dyDescent="0.2">
      <c r="A331" s="263"/>
      <c r="B331" s="246"/>
      <c r="C331" s="264"/>
      <c r="D331" s="264"/>
      <c r="E331" s="265"/>
      <c r="F331" s="265"/>
      <c r="G331" s="266"/>
      <c r="H331" s="266"/>
      <c r="I331" s="266"/>
      <c r="J331" s="242"/>
      <c r="K331" s="242"/>
      <c r="L331" s="242"/>
      <c r="M331" s="241"/>
      <c r="N331" s="242"/>
    </row>
    <row r="332" spans="1:14" x14ac:dyDescent="0.2">
      <c r="A332" s="263"/>
      <c r="B332" s="246"/>
      <c r="C332" s="264"/>
      <c r="D332" s="264"/>
      <c r="E332" s="265"/>
      <c r="F332" s="265"/>
      <c r="G332" s="266"/>
      <c r="H332" s="266"/>
      <c r="I332" s="266"/>
      <c r="J332" s="242"/>
      <c r="K332" s="242"/>
      <c r="L332" s="242"/>
      <c r="M332" s="241"/>
      <c r="N332" s="242"/>
    </row>
    <row r="333" spans="1:14" x14ac:dyDescent="0.2">
      <c r="A333" s="263"/>
      <c r="B333" s="246"/>
      <c r="C333" s="264"/>
      <c r="D333" s="264"/>
      <c r="E333" s="265"/>
      <c r="F333" s="265"/>
      <c r="G333" s="266"/>
      <c r="H333" s="266"/>
      <c r="I333" s="266"/>
      <c r="J333" s="242"/>
      <c r="K333" s="242"/>
      <c r="L333" s="242"/>
      <c r="M333" s="241"/>
      <c r="N333" s="242"/>
    </row>
    <row r="334" spans="1:14" x14ac:dyDescent="0.2">
      <c r="A334" s="263"/>
      <c r="B334" s="246"/>
      <c r="C334" s="264"/>
      <c r="D334" s="264"/>
      <c r="E334" s="265"/>
      <c r="F334" s="265"/>
      <c r="G334" s="266"/>
      <c r="H334" s="266"/>
      <c r="I334" s="266"/>
      <c r="J334" s="242"/>
      <c r="K334" s="242"/>
      <c r="L334" s="242"/>
      <c r="M334" s="241"/>
      <c r="N334" s="242"/>
    </row>
    <row r="335" spans="1:14" x14ac:dyDescent="0.2">
      <c r="A335" s="263"/>
      <c r="B335" s="246"/>
      <c r="C335" s="264"/>
      <c r="D335" s="264"/>
      <c r="E335" s="265"/>
      <c r="F335" s="265"/>
      <c r="G335" s="266"/>
      <c r="H335" s="266"/>
      <c r="I335" s="266"/>
      <c r="J335" s="242"/>
      <c r="K335" s="242"/>
      <c r="L335" s="242"/>
      <c r="M335" s="241"/>
      <c r="N335" s="242"/>
    </row>
    <row r="336" spans="1:14" x14ac:dyDescent="0.2">
      <c r="A336" s="263"/>
      <c r="B336" s="246"/>
      <c r="C336" s="264"/>
      <c r="D336" s="264"/>
      <c r="E336" s="265"/>
      <c r="F336" s="265"/>
      <c r="G336" s="266"/>
      <c r="H336" s="266"/>
      <c r="I336" s="266"/>
      <c r="J336" s="242"/>
      <c r="K336" s="242"/>
      <c r="L336" s="242"/>
      <c r="M336" s="241"/>
      <c r="N336" s="242"/>
    </row>
    <row r="337" spans="1:14" x14ac:dyDescent="0.2">
      <c r="A337" s="263"/>
      <c r="B337" s="246"/>
      <c r="C337" s="264"/>
      <c r="D337" s="264"/>
      <c r="E337" s="265"/>
      <c r="F337" s="265"/>
      <c r="G337" s="266"/>
      <c r="H337" s="266"/>
      <c r="I337" s="266"/>
      <c r="J337" s="242"/>
      <c r="K337" s="242"/>
      <c r="L337" s="242"/>
      <c r="M337" s="241"/>
      <c r="N337" s="242"/>
    </row>
    <row r="338" spans="1:14" x14ac:dyDescent="0.2">
      <c r="A338" s="263"/>
      <c r="B338" s="246"/>
      <c r="C338" s="264"/>
      <c r="D338" s="264"/>
      <c r="E338" s="265"/>
      <c r="F338" s="265"/>
      <c r="G338" s="266"/>
      <c r="H338" s="266"/>
      <c r="I338" s="266"/>
      <c r="J338" s="242"/>
      <c r="K338" s="242"/>
      <c r="L338" s="242"/>
      <c r="M338" s="241"/>
      <c r="N338" s="242"/>
    </row>
    <row r="339" spans="1:14" x14ac:dyDescent="0.2">
      <c r="A339" s="263"/>
      <c r="B339" s="246"/>
      <c r="C339" s="264"/>
      <c r="D339" s="264"/>
      <c r="E339" s="265"/>
      <c r="F339" s="265"/>
      <c r="G339" s="266"/>
      <c r="H339" s="266"/>
      <c r="I339" s="266"/>
      <c r="J339" s="242"/>
      <c r="K339" s="242"/>
      <c r="L339" s="242"/>
      <c r="M339" s="241"/>
      <c r="N339" s="242"/>
    </row>
    <row r="340" spans="1:14" x14ac:dyDescent="0.2">
      <c r="A340" s="263"/>
      <c r="B340" s="246"/>
      <c r="C340" s="264"/>
      <c r="D340" s="264"/>
      <c r="E340" s="265"/>
      <c r="F340" s="265"/>
      <c r="G340" s="266"/>
      <c r="H340" s="266"/>
      <c r="I340" s="266"/>
      <c r="J340" s="242"/>
      <c r="K340" s="242"/>
      <c r="L340" s="242"/>
      <c r="M340" s="241"/>
      <c r="N340" s="242"/>
    </row>
    <row r="341" spans="1:14" x14ac:dyDescent="0.2">
      <c r="A341" s="263"/>
      <c r="B341" s="246"/>
      <c r="C341" s="264"/>
      <c r="D341" s="264"/>
      <c r="E341" s="265"/>
      <c r="F341" s="265"/>
      <c r="G341" s="266"/>
      <c r="H341" s="266"/>
      <c r="I341" s="266"/>
      <c r="J341" s="242"/>
      <c r="K341" s="242"/>
      <c r="L341" s="242"/>
      <c r="M341" s="241"/>
      <c r="N341" s="242"/>
    </row>
    <row r="342" spans="1:14" x14ac:dyDescent="0.2">
      <c r="A342" s="263"/>
      <c r="B342" s="246"/>
      <c r="C342" s="264"/>
      <c r="D342" s="264"/>
      <c r="E342" s="265"/>
      <c r="F342" s="265"/>
      <c r="G342" s="266"/>
      <c r="H342" s="266"/>
      <c r="I342" s="266"/>
      <c r="J342" s="242"/>
      <c r="K342" s="242"/>
      <c r="L342" s="242"/>
      <c r="M342" s="241"/>
      <c r="N342" s="242"/>
    </row>
    <row r="343" spans="1:14" x14ac:dyDescent="0.2">
      <c r="A343" s="263"/>
      <c r="B343" s="246"/>
      <c r="C343" s="264"/>
      <c r="D343" s="264"/>
      <c r="E343" s="265"/>
      <c r="F343" s="265"/>
      <c r="G343" s="266"/>
      <c r="H343" s="266"/>
      <c r="I343" s="266"/>
      <c r="J343" s="242"/>
      <c r="K343" s="242"/>
      <c r="L343" s="242"/>
      <c r="M343" s="241"/>
      <c r="N343" s="242"/>
    </row>
    <row r="344" spans="1:14" x14ac:dyDescent="0.2">
      <c r="A344" s="263"/>
      <c r="B344" s="246"/>
      <c r="C344" s="264"/>
      <c r="D344" s="264"/>
      <c r="E344" s="265"/>
      <c r="F344" s="265"/>
      <c r="G344" s="266"/>
      <c r="H344" s="266"/>
      <c r="I344" s="266"/>
      <c r="J344" s="242"/>
      <c r="K344" s="242"/>
      <c r="L344" s="242"/>
      <c r="M344" s="241"/>
      <c r="N344" s="242"/>
    </row>
    <row r="345" spans="1:14" x14ac:dyDescent="0.2">
      <c r="A345" s="263"/>
      <c r="B345" s="246"/>
      <c r="C345" s="264"/>
      <c r="D345" s="264"/>
      <c r="E345" s="265"/>
      <c r="F345" s="265"/>
      <c r="G345" s="266"/>
      <c r="H345" s="266"/>
      <c r="I345" s="266"/>
      <c r="J345" s="242"/>
      <c r="K345" s="242"/>
      <c r="L345" s="242"/>
      <c r="M345" s="241"/>
      <c r="N345" s="242"/>
    </row>
    <row r="346" spans="1:14" x14ac:dyDescent="0.2">
      <c r="A346" s="263"/>
      <c r="B346" s="246"/>
      <c r="C346" s="264"/>
      <c r="D346" s="264"/>
      <c r="E346" s="265"/>
      <c r="F346" s="265"/>
      <c r="G346" s="266"/>
      <c r="H346" s="266"/>
      <c r="I346" s="266"/>
      <c r="J346" s="242"/>
      <c r="K346" s="242"/>
      <c r="L346" s="242"/>
      <c r="M346" s="241"/>
      <c r="N346" s="242"/>
    </row>
    <row r="347" spans="1:14" x14ac:dyDescent="0.2">
      <c r="A347" s="263"/>
      <c r="B347" s="246"/>
      <c r="C347" s="264"/>
      <c r="D347" s="264"/>
      <c r="E347" s="265"/>
      <c r="F347" s="265"/>
      <c r="G347" s="266"/>
      <c r="H347" s="266"/>
      <c r="I347" s="266"/>
      <c r="J347" s="242"/>
      <c r="K347" s="242"/>
      <c r="L347" s="242"/>
      <c r="M347" s="241"/>
      <c r="N347" s="242"/>
    </row>
    <row r="348" spans="1:14" x14ac:dyDescent="0.2">
      <c r="A348" s="263"/>
      <c r="B348" s="246"/>
      <c r="C348" s="264"/>
      <c r="D348" s="264"/>
      <c r="E348" s="265"/>
      <c r="F348" s="265"/>
      <c r="G348" s="266"/>
      <c r="H348" s="266"/>
      <c r="I348" s="266"/>
      <c r="J348" s="242"/>
      <c r="K348" s="242"/>
      <c r="L348" s="242"/>
      <c r="M348" s="241"/>
      <c r="N348" s="242"/>
    </row>
    <row r="349" spans="1:14" x14ac:dyDescent="0.2">
      <c r="A349" s="263"/>
      <c r="B349" s="246"/>
      <c r="C349" s="264"/>
      <c r="D349" s="264"/>
      <c r="E349" s="265"/>
      <c r="F349" s="265"/>
      <c r="G349" s="266"/>
      <c r="H349" s="266"/>
      <c r="I349" s="266"/>
      <c r="J349" s="242"/>
      <c r="K349" s="242"/>
      <c r="L349" s="242"/>
      <c r="M349" s="241"/>
      <c r="N349" s="242"/>
    </row>
    <row r="350" spans="1:14" x14ac:dyDescent="0.2">
      <c r="A350" s="263"/>
      <c r="B350" s="246"/>
      <c r="C350" s="264"/>
      <c r="D350" s="264"/>
      <c r="E350" s="265"/>
      <c r="F350" s="265"/>
      <c r="G350" s="266"/>
      <c r="H350" s="266"/>
      <c r="I350" s="266"/>
      <c r="J350" s="242"/>
      <c r="K350" s="242"/>
      <c r="L350" s="242"/>
      <c r="M350" s="241"/>
      <c r="N350" s="242"/>
    </row>
    <row r="351" spans="1:14" x14ac:dyDescent="0.2">
      <c r="A351" s="263"/>
      <c r="B351" s="246"/>
      <c r="C351" s="264"/>
      <c r="D351" s="264"/>
      <c r="E351" s="265"/>
      <c r="F351" s="265"/>
      <c r="G351" s="266"/>
      <c r="H351" s="266"/>
      <c r="I351" s="266"/>
      <c r="J351" s="242"/>
      <c r="K351" s="242"/>
      <c r="L351" s="242"/>
      <c r="M351" s="241"/>
      <c r="N351" s="242"/>
    </row>
    <row r="352" spans="1:14" x14ac:dyDescent="0.2">
      <c r="A352" s="263"/>
      <c r="B352" s="246"/>
      <c r="C352" s="264"/>
      <c r="D352" s="264"/>
      <c r="E352" s="265"/>
      <c r="F352" s="265"/>
      <c r="G352" s="266"/>
      <c r="H352" s="266"/>
      <c r="I352" s="266"/>
      <c r="J352" s="242"/>
      <c r="K352" s="242"/>
      <c r="L352" s="242"/>
      <c r="M352" s="241"/>
      <c r="N352" s="242"/>
    </row>
    <row r="353" spans="1:14" x14ac:dyDescent="0.2">
      <c r="A353" s="263"/>
      <c r="B353" s="246"/>
      <c r="C353" s="264"/>
      <c r="D353" s="264"/>
      <c r="E353" s="265"/>
      <c r="F353" s="265"/>
      <c r="G353" s="266"/>
      <c r="H353" s="266"/>
      <c r="I353" s="266"/>
      <c r="J353" s="242"/>
      <c r="K353" s="242"/>
      <c r="L353" s="242"/>
      <c r="M353" s="241"/>
      <c r="N353" s="242"/>
    </row>
    <row r="354" spans="1:14" x14ac:dyDescent="0.2">
      <c r="A354" s="263"/>
      <c r="B354" s="246"/>
      <c r="C354" s="264"/>
      <c r="D354" s="264"/>
      <c r="E354" s="265"/>
      <c r="F354" s="265"/>
      <c r="G354" s="266"/>
      <c r="H354" s="266"/>
      <c r="I354" s="266"/>
      <c r="J354" s="242"/>
      <c r="K354" s="242"/>
      <c r="L354" s="242"/>
      <c r="M354" s="241"/>
      <c r="N354" s="242"/>
    </row>
    <row r="355" spans="1:14" x14ac:dyDescent="0.2">
      <c r="A355" s="263"/>
      <c r="B355" s="246"/>
      <c r="C355" s="264"/>
      <c r="D355" s="264"/>
      <c r="E355" s="265"/>
      <c r="F355" s="265"/>
      <c r="G355" s="266"/>
      <c r="H355" s="266"/>
      <c r="I355" s="266"/>
      <c r="J355" s="242"/>
      <c r="K355" s="242"/>
      <c r="L355" s="242"/>
      <c r="M355" s="241"/>
      <c r="N355" s="242"/>
    </row>
    <row r="356" spans="1:14" x14ac:dyDescent="0.2">
      <c r="A356" s="263"/>
      <c r="B356" s="246"/>
      <c r="C356" s="264"/>
      <c r="D356" s="264"/>
      <c r="E356" s="265"/>
      <c r="F356" s="265"/>
      <c r="G356" s="266"/>
      <c r="H356" s="266"/>
      <c r="I356" s="266"/>
      <c r="J356" s="242"/>
      <c r="K356" s="242"/>
      <c r="L356" s="242"/>
      <c r="M356" s="241"/>
      <c r="N356" s="242"/>
    </row>
    <row r="357" spans="1:14" x14ac:dyDescent="0.2">
      <c r="A357" s="263"/>
      <c r="B357" s="246"/>
      <c r="C357" s="264"/>
      <c r="D357" s="264"/>
      <c r="E357" s="265"/>
      <c r="F357" s="265"/>
      <c r="G357" s="266"/>
      <c r="H357" s="266"/>
      <c r="I357" s="266"/>
      <c r="J357" s="242"/>
      <c r="K357" s="242"/>
      <c r="L357" s="242"/>
      <c r="M357" s="241"/>
      <c r="N357" s="242"/>
    </row>
    <row r="358" spans="1:14" x14ac:dyDescent="0.2">
      <c r="A358" s="263"/>
      <c r="B358" s="246"/>
      <c r="C358" s="264"/>
      <c r="D358" s="264"/>
      <c r="E358" s="265"/>
      <c r="F358" s="265"/>
      <c r="G358" s="266"/>
      <c r="H358" s="266"/>
      <c r="I358" s="266"/>
      <c r="J358" s="242"/>
      <c r="K358" s="242"/>
      <c r="L358" s="242"/>
      <c r="M358" s="241"/>
      <c r="N358" s="242"/>
    </row>
    <row r="359" spans="1:14" x14ac:dyDescent="0.2">
      <c r="A359" s="263"/>
      <c r="B359" s="246"/>
      <c r="C359" s="264"/>
      <c r="D359" s="264"/>
      <c r="E359" s="265"/>
      <c r="F359" s="265"/>
      <c r="G359" s="266"/>
      <c r="H359" s="266"/>
      <c r="I359" s="266"/>
      <c r="J359" s="242"/>
      <c r="K359" s="242"/>
      <c r="L359" s="242"/>
      <c r="M359" s="241"/>
      <c r="N359" s="242"/>
    </row>
    <row r="360" spans="1:14" x14ac:dyDescent="0.2">
      <c r="A360" s="263"/>
      <c r="B360" s="246"/>
      <c r="C360" s="264"/>
      <c r="D360" s="264"/>
      <c r="E360" s="265"/>
      <c r="F360" s="265"/>
      <c r="G360" s="266"/>
      <c r="H360" s="266"/>
      <c r="I360" s="266"/>
      <c r="J360" s="242"/>
      <c r="K360" s="242"/>
      <c r="L360" s="242"/>
      <c r="M360" s="241"/>
      <c r="N360" s="242"/>
    </row>
    <row r="361" spans="1:14" x14ac:dyDescent="0.2">
      <c r="A361" s="263"/>
      <c r="B361" s="246"/>
      <c r="C361" s="264"/>
      <c r="D361" s="264"/>
      <c r="E361" s="265"/>
      <c r="F361" s="265"/>
      <c r="G361" s="266"/>
      <c r="H361" s="266"/>
      <c r="I361" s="266"/>
      <c r="J361" s="242"/>
      <c r="K361" s="242"/>
      <c r="L361" s="242"/>
      <c r="M361" s="241"/>
      <c r="N361" s="242"/>
    </row>
    <row r="362" spans="1:14" x14ac:dyDescent="0.2">
      <c r="A362" s="263"/>
      <c r="B362" s="246"/>
      <c r="C362" s="264"/>
      <c r="D362" s="264"/>
      <c r="E362" s="265"/>
      <c r="F362" s="265"/>
      <c r="G362" s="266"/>
      <c r="H362" s="266"/>
      <c r="I362" s="266"/>
      <c r="J362" s="242"/>
      <c r="K362" s="242"/>
      <c r="L362" s="242"/>
      <c r="M362" s="241"/>
      <c r="N362" s="242"/>
    </row>
    <row r="363" spans="1:14" x14ac:dyDescent="0.2">
      <c r="A363" s="263"/>
      <c r="B363" s="246"/>
      <c r="C363" s="264"/>
      <c r="D363" s="264"/>
      <c r="E363" s="265"/>
      <c r="F363" s="265"/>
      <c r="G363" s="266"/>
      <c r="H363" s="266"/>
      <c r="I363" s="266"/>
      <c r="J363" s="242"/>
      <c r="K363" s="242"/>
      <c r="L363" s="242"/>
      <c r="M363" s="241"/>
      <c r="N363" s="242"/>
    </row>
    <row r="364" spans="1:14" x14ac:dyDescent="0.2">
      <c r="A364" s="263"/>
      <c r="B364" s="246"/>
      <c r="C364" s="264"/>
      <c r="D364" s="264"/>
      <c r="E364" s="265"/>
      <c r="F364" s="265"/>
      <c r="G364" s="266"/>
      <c r="H364" s="266"/>
      <c r="I364" s="266"/>
      <c r="J364" s="242"/>
      <c r="K364" s="242"/>
      <c r="L364" s="242"/>
      <c r="M364" s="241"/>
      <c r="N364" s="242"/>
    </row>
    <row r="365" spans="1:14" x14ac:dyDescent="0.2">
      <c r="A365" s="263"/>
      <c r="B365" s="246"/>
      <c r="C365" s="264"/>
      <c r="D365" s="264"/>
      <c r="E365" s="265"/>
      <c r="F365" s="265"/>
      <c r="G365" s="266"/>
      <c r="H365" s="266"/>
      <c r="I365" s="266"/>
      <c r="J365" s="242"/>
      <c r="K365" s="242"/>
      <c r="L365" s="242"/>
      <c r="M365" s="241"/>
      <c r="N365" s="242"/>
    </row>
    <row r="366" spans="1:14" x14ac:dyDescent="0.2">
      <c r="A366" s="263"/>
      <c r="B366" s="246"/>
      <c r="C366" s="264"/>
      <c r="D366" s="264"/>
      <c r="E366" s="265"/>
      <c r="F366" s="265"/>
      <c r="G366" s="266"/>
      <c r="H366" s="266"/>
      <c r="I366" s="266"/>
      <c r="J366" s="242"/>
      <c r="K366" s="242"/>
      <c r="L366" s="242"/>
      <c r="M366" s="241"/>
      <c r="N366" s="242"/>
    </row>
    <row r="367" spans="1:14" x14ac:dyDescent="0.2">
      <c r="A367" s="263"/>
      <c r="B367" s="246"/>
      <c r="C367" s="264"/>
      <c r="D367" s="264"/>
      <c r="E367" s="265"/>
      <c r="F367" s="265"/>
      <c r="G367" s="266"/>
      <c r="H367" s="266"/>
      <c r="I367" s="266"/>
      <c r="J367" s="242"/>
      <c r="K367" s="242"/>
      <c r="L367" s="242"/>
      <c r="M367" s="241"/>
      <c r="N367" s="242"/>
    </row>
    <row r="368" spans="1:14" x14ac:dyDescent="0.2">
      <c r="A368" s="263"/>
      <c r="B368" s="246"/>
      <c r="C368" s="264"/>
      <c r="D368" s="264"/>
      <c r="E368" s="265"/>
      <c r="F368" s="265"/>
      <c r="G368" s="266"/>
      <c r="H368" s="266"/>
      <c r="I368" s="266"/>
      <c r="J368" s="242"/>
      <c r="K368" s="242"/>
      <c r="L368" s="242"/>
      <c r="M368" s="241"/>
      <c r="N368" s="242"/>
    </row>
    <row r="369" spans="1:14" x14ac:dyDescent="0.2">
      <c r="A369" s="263"/>
      <c r="B369" s="246"/>
      <c r="C369" s="264"/>
      <c r="D369" s="264"/>
      <c r="E369" s="265"/>
      <c r="F369" s="265"/>
      <c r="G369" s="266"/>
      <c r="H369" s="266"/>
      <c r="I369" s="266"/>
      <c r="J369" s="242"/>
      <c r="K369" s="242"/>
      <c r="L369" s="242"/>
      <c r="M369" s="241"/>
      <c r="N369" s="242"/>
    </row>
    <row r="370" spans="1:14" x14ac:dyDescent="0.2">
      <c r="A370" s="263"/>
      <c r="B370" s="246"/>
      <c r="C370" s="264"/>
      <c r="D370" s="264"/>
      <c r="E370" s="265"/>
      <c r="F370" s="265"/>
      <c r="G370" s="266"/>
      <c r="H370" s="266"/>
      <c r="I370" s="266"/>
      <c r="J370" s="242"/>
      <c r="K370" s="242"/>
      <c r="L370" s="242"/>
      <c r="M370" s="241"/>
      <c r="N370" s="242"/>
    </row>
    <row r="371" spans="1:14" x14ac:dyDescent="0.2">
      <c r="A371" s="263"/>
      <c r="B371" s="246"/>
      <c r="C371" s="264"/>
      <c r="D371" s="264"/>
      <c r="E371" s="265"/>
      <c r="F371" s="265"/>
      <c r="G371" s="266"/>
      <c r="H371" s="266"/>
      <c r="I371" s="266"/>
      <c r="J371" s="242"/>
      <c r="K371" s="242"/>
      <c r="L371" s="242"/>
      <c r="M371" s="241"/>
      <c r="N371" s="242"/>
    </row>
    <row r="372" spans="1:14" x14ac:dyDescent="0.2">
      <c r="A372" s="263"/>
      <c r="B372" s="246"/>
      <c r="C372" s="264"/>
      <c r="D372" s="264"/>
      <c r="E372" s="265"/>
      <c r="F372" s="265"/>
      <c r="G372" s="266"/>
      <c r="H372" s="266"/>
      <c r="I372" s="266"/>
      <c r="J372" s="242"/>
      <c r="K372" s="242"/>
      <c r="L372" s="242"/>
      <c r="M372" s="241"/>
      <c r="N372" s="242"/>
    </row>
    <row r="373" spans="1:14" x14ac:dyDescent="0.2">
      <c r="A373" s="263"/>
      <c r="B373" s="246"/>
      <c r="C373" s="264"/>
      <c r="D373" s="264"/>
      <c r="E373" s="265"/>
      <c r="F373" s="265"/>
      <c r="G373" s="266"/>
      <c r="H373" s="266"/>
      <c r="I373" s="266"/>
      <c r="J373" s="242"/>
      <c r="K373" s="242"/>
      <c r="L373" s="242"/>
      <c r="M373" s="241"/>
      <c r="N373" s="242"/>
    </row>
    <row r="374" spans="1:14" x14ac:dyDescent="0.2">
      <c r="A374" s="263"/>
      <c r="B374" s="246"/>
      <c r="C374" s="264"/>
      <c r="D374" s="264"/>
      <c r="E374" s="265"/>
      <c r="F374" s="265"/>
      <c r="G374" s="266"/>
      <c r="H374" s="266"/>
      <c r="I374" s="266"/>
      <c r="J374" s="242"/>
      <c r="K374" s="242"/>
      <c r="L374" s="242"/>
      <c r="M374" s="241"/>
      <c r="N374" s="242"/>
    </row>
    <row r="375" spans="1:14" x14ac:dyDescent="0.2">
      <c r="A375" s="263"/>
      <c r="B375" s="246"/>
      <c r="C375" s="264"/>
      <c r="D375" s="264"/>
      <c r="E375" s="265"/>
      <c r="F375" s="265"/>
      <c r="G375" s="266"/>
      <c r="H375" s="266"/>
      <c r="I375" s="266"/>
      <c r="J375" s="242"/>
      <c r="K375" s="242"/>
      <c r="L375" s="242"/>
      <c r="M375" s="241"/>
      <c r="N375" s="242"/>
    </row>
    <row r="376" spans="1:14" x14ac:dyDescent="0.2">
      <c r="A376" s="263"/>
      <c r="B376" s="246"/>
      <c r="C376" s="264"/>
      <c r="D376" s="264"/>
      <c r="E376" s="265"/>
      <c r="F376" s="265"/>
      <c r="G376" s="266"/>
      <c r="H376" s="266"/>
      <c r="I376" s="266"/>
      <c r="J376" s="242"/>
      <c r="K376" s="242"/>
      <c r="L376" s="242"/>
      <c r="M376" s="241"/>
      <c r="N376" s="242"/>
    </row>
    <row r="377" spans="1:14" x14ac:dyDescent="0.2">
      <c r="A377" s="263"/>
      <c r="B377" s="246"/>
      <c r="C377" s="264"/>
      <c r="D377" s="264"/>
      <c r="E377" s="265"/>
      <c r="F377" s="265"/>
      <c r="G377" s="266"/>
      <c r="H377" s="266"/>
      <c r="I377" s="266"/>
      <c r="J377" s="242"/>
      <c r="K377" s="242"/>
      <c r="L377" s="242"/>
      <c r="M377" s="241"/>
      <c r="N377" s="242"/>
    </row>
    <row r="378" spans="1:14" x14ac:dyDescent="0.2">
      <c r="A378" s="263"/>
      <c r="B378" s="246"/>
      <c r="C378" s="264"/>
      <c r="D378" s="264"/>
      <c r="E378" s="265"/>
      <c r="F378" s="265"/>
      <c r="G378" s="266"/>
      <c r="H378" s="266"/>
      <c r="I378" s="266"/>
      <c r="J378" s="242"/>
      <c r="K378" s="242"/>
      <c r="L378" s="242"/>
      <c r="M378" s="241"/>
      <c r="N378" s="242"/>
    </row>
    <row r="379" spans="1:14" x14ac:dyDescent="0.2">
      <c r="A379" s="263"/>
      <c r="B379" s="246"/>
      <c r="C379" s="264"/>
      <c r="D379" s="264"/>
      <c r="E379" s="265"/>
      <c r="F379" s="265"/>
      <c r="G379" s="266"/>
      <c r="H379" s="266"/>
      <c r="I379" s="266"/>
      <c r="J379" s="242"/>
      <c r="K379" s="242"/>
      <c r="L379" s="242"/>
      <c r="M379" s="241"/>
      <c r="N379" s="242"/>
    </row>
    <row r="380" spans="1:14" x14ac:dyDescent="0.2">
      <c r="A380" s="263"/>
      <c r="B380" s="246"/>
      <c r="C380" s="264"/>
      <c r="D380" s="264"/>
      <c r="E380" s="265"/>
      <c r="F380" s="265"/>
      <c r="G380" s="266"/>
      <c r="H380" s="266"/>
      <c r="I380" s="266"/>
      <c r="J380" s="242"/>
      <c r="K380" s="242"/>
      <c r="L380" s="242"/>
      <c r="M380" s="241"/>
      <c r="N380" s="242"/>
    </row>
    <row r="381" spans="1:14" x14ac:dyDescent="0.2">
      <c r="A381" s="263"/>
      <c r="B381" s="246"/>
      <c r="C381" s="264"/>
      <c r="D381" s="264"/>
      <c r="E381" s="265"/>
      <c r="F381" s="265"/>
      <c r="G381" s="266"/>
      <c r="H381" s="266"/>
      <c r="I381" s="266"/>
      <c r="J381" s="242"/>
      <c r="K381" s="242"/>
      <c r="L381" s="242"/>
      <c r="M381" s="241"/>
      <c r="N381" s="242"/>
    </row>
    <row r="382" spans="1:14" x14ac:dyDescent="0.2">
      <c r="A382" s="263"/>
      <c r="B382" s="246"/>
      <c r="C382" s="264"/>
      <c r="D382" s="264"/>
      <c r="E382" s="265"/>
      <c r="F382" s="265"/>
      <c r="G382" s="266"/>
      <c r="H382" s="266"/>
      <c r="I382" s="266"/>
      <c r="J382" s="242"/>
      <c r="K382" s="242"/>
      <c r="L382" s="242"/>
      <c r="M382" s="241"/>
      <c r="N382" s="242"/>
    </row>
    <row r="383" spans="1:14" x14ac:dyDescent="0.2">
      <c r="A383" s="263"/>
      <c r="B383" s="246"/>
      <c r="C383" s="264"/>
      <c r="D383" s="264"/>
      <c r="E383" s="265"/>
      <c r="F383" s="265"/>
      <c r="G383" s="266"/>
      <c r="H383" s="266"/>
      <c r="I383" s="266"/>
      <c r="J383" s="242"/>
      <c r="K383" s="242"/>
      <c r="L383" s="242"/>
      <c r="M383" s="241"/>
      <c r="N383" s="242"/>
    </row>
    <row r="384" spans="1:14" x14ac:dyDescent="0.2">
      <c r="A384" s="263"/>
      <c r="B384" s="246"/>
      <c r="C384" s="264"/>
      <c r="D384" s="264"/>
      <c r="E384" s="265"/>
      <c r="F384" s="265"/>
      <c r="G384" s="266"/>
      <c r="H384" s="266"/>
      <c r="I384" s="266"/>
      <c r="J384" s="242"/>
      <c r="K384" s="242"/>
      <c r="L384" s="242"/>
      <c r="M384" s="241"/>
      <c r="N384" s="242"/>
    </row>
    <row r="385" spans="1:18" x14ac:dyDescent="0.2">
      <c r="A385" s="263"/>
      <c r="B385" s="246"/>
      <c r="C385" s="264"/>
      <c r="D385" s="264"/>
      <c r="E385" s="265"/>
      <c r="F385" s="265"/>
      <c r="G385" s="266"/>
      <c r="H385" s="266"/>
      <c r="I385" s="266"/>
      <c r="J385" s="242"/>
      <c r="K385" s="242"/>
      <c r="L385" s="242"/>
      <c r="M385" s="241"/>
      <c r="N385" s="242"/>
    </row>
    <row r="386" spans="1:18" x14ac:dyDescent="0.2">
      <c r="A386" s="263"/>
      <c r="B386" s="246"/>
      <c r="C386" s="264"/>
      <c r="D386" s="264"/>
      <c r="E386" s="265"/>
      <c r="F386" s="265"/>
      <c r="G386" s="266"/>
      <c r="H386" s="266"/>
      <c r="I386" s="266"/>
      <c r="J386" s="242"/>
      <c r="K386" s="242"/>
      <c r="L386" s="242"/>
      <c r="M386" s="241"/>
      <c r="N386" s="242"/>
    </row>
    <row r="387" spans="1:18" x14ac:dyDescent="0.2">
      <c r="A387" s="263"/>
      <c r="B387" s="246"/>
      <c r="C387" s="264"/>
      <c r="D387" s="264"/>
      <c r="E387" s="265"/>
      <c r="F387" s="265"/>
      <c r="G387" s="266"/>
      <c r="H387" s="266"/>
      <c r="I387" s="266"/>
      <c r="J387" s="242"/>
      <c r="K387" s="242"/>
      <c r="L387" s="242"/>
      <c r="M387" s="241"/>
      <c r="N387" s="242"/>
    </row>
    <row r="388" spans="1:18" x14ac:dyDescent="0.2">
      <c r="A388" s="263"/>
      <c r="B388" s="246"/>
      <c r="C388" s="264"/>
      <c r="D388" s="264"/>
      <c r="E388" s="265"/>
      <c r="F388" s="265"/>
      <c r="G388" s="266"/>
      <c r="H388" s="266"/>
      <c r="I388" s="266"/>
      <c r="J388" s="242"/>
      <c r="K388" s="242"/>
      <c r="L388" s="242"/>
      <c r="M388" s="241"/>
      <c r="N388" s="242"/>
    </row>
    <row r="389" spans="1:18" x14ac:dyDescent="0.2">
      <c r="A389" s="263"/>
      <c r="B389" s="246"/>
      <c r="C389" s="264"/>
      <c r="D389" s="264"/>
      <c r="E389" s="265"/>
      <c r="F389" s="265"/>
      <c r="G389" s="266"/>
      <c r="H389" s="266"/>
      <c r="I389" s="266"/>
      <c r="J389" s="242"/>
      <c r="K389" s="242"/>
      <c r="L389" s="242"/>
      <c r="M389" s="241"/>
      <c r="N389" s="242"/>
    </row>
    <row r="390" spans="1:18" x14ac:dyDescent="0.2">
      <c r="A390" s="263"/>
      <c r="B390" s="246"/>
      <c r="C390" s="264"/>
      <c r="D390" s="264"/>
      <c r="E390" s="265"/>
      <c r="F390" s="265"/>
      <c r="G390" s="266"/>
      <c r="H390" s="266"/>
      <c r="I390" s="266"/>
      <c r="J390" s="242"/>
      <c r="K390" s="242"/>
      <c r="L390" s="242"/>
      <c r="M390" s="241"/>
      <c r="N390" s="242"/>
    </row>
    <row r="391" spans="1:18" x14ac:dyDescent="0.2">
      <c r="A391" s="263"/>
      <c r="B391" s="246"/>
      <c r="C391" s="264"/>
      <c r="D391" s="264"/>
      <c r="E391" s="265"/>
      <c r="F391" s="265"/>
      <c r="G391" s="266"/>
      <c r="H391" s="266"/>
      <c r="I391" s="266"/>
      <c r="J391" s="242"/>
      <c r="K391" s="242"/>
      <c r="L391" s="242"/>
      <c r="M391" s="241"/>
      <c r="N391" s="242"/>
    </row>
    <row r="392" spans="1:18" x14ac:dyDescent="0.2">
      <c r="A392" s="263"/>
      <c r="B392" s="246"/>
      <c r="C392" s="264"/>
      <c r="D392" s="264"/>
      <c r="E392" s="265"/>
      <c r="F392" s="265"/>
      <c r="G392" s="266"/>
      <c r="H392" s="266"/>
      <c r="I392" s="266"/>
      <c r="J392" s="242"/>
      <c r="K392" s="242"/>
      <c r="L392" s="242"/>
      <c r="M392" s="241"/>
      <c r="N392" s="242"/>
    </row>
    <row r="393" spans="1:18" x14ac:dyDescent="0.2">
      <c r="A393" s="263"/>
      <c r="B393" s="246"/>
      <c r="C393" s="264"/>
      <c r="D393" s="268"/>
      <c r="E393" s="264"/>
      <c r="F393" s="264"/>
      <c r="G393" s="264"/>
      <c r="H393" s="269"/>
      <c r="I393" s="269"/>
      <c r="J393" s="269"/>
      <c r="K393" s="269"/>
      <c r="L393" s="269"/>
      <c r="M393" s="269"/>
      <c r="N393" s="256"/>
      <c r="O393" s="256"/>
      <c r="P393" s="256"/>
      <c r="Q393" s="256"/>
      <c r="R393" s="270"/>
    </row>
    <row r="394" spans="1:18" x14ac:dyDescent="0.2">
      <c r="A394" s="271"/>
      <c r="B394" s="271"/>
      <c r="C394" s="271"/>
      <c r="D394" s="271"/>
      <c r="E394" s="271"/>
      <c r="F394" s="271"/>
      <c r="G394" s="272"/>
      <c r="H394" s="272"/>
      <c r="I394" s="272"/>
      <c r="J394" s="272"/>
      <c r="K394" s="272"/>
      <c r="L394" s="272"/>
      <c r="M394" s="272"/>
      <c r="N394" s="272"/>
      <c r="O394" s="272"/>
      <c r="P394" s="272"/>
      <c r="Q394" s="272"/>
      <c r="R394" s="272"/>
    </row>
    <row r="395" spans="1:18" x14ac:dyDescent="0.2">
      <c r="A395" s="273"/>
      <c r="B395" s="219"/>
      <c r="C395" s="219"/>
      <c r="D395" s="219"/>
      <c r="E395" s="219"/>
      <c r="F395" s="219"/>
      <c r="G395" s="219"/>
      <c r="H395" s="219"/>
      <c r="I395" s="248" t="s">
        <v>187</v>
      </c>
      <c r="J395" s="219"/>
      <c r="K395" s="219"/>
      <c r="L395" s="219"/>
      <c r="M395" s="219"/>
      <c r="N395" s="219"/>
      <c r="O395" s="219"/>
      <c r="P395" s="219"/>
      <c r="Q395" s="219"/>
      <c r="R395" s="219"/>
    </row>
    <row r="396" spans="1:18" hidden="1" x14ac:dyDescent="0.2">
      <c r="A396" s="274" t="s">
        <v>216</v>
      </c>
      <c r="B396" s="275"/>
      <c r="C396" s="275"/>
      <c r="D396" s="275"/>
      <c r="E396" s="275"/>
      <c r="F396" s="275"/>
      <c r="G396" s="275"/>
      <c r="H396" s="275"/>
      <c r="I396" s="275"/>
      <c r="J396" s="275"/>
      <c r="K396" s="275"/>
      <c r="L396" s="275"/>
      <c r="M396" s="275"/>
      <c r="N396" s="275"/>
      <c r="O396" s="275"/>
      <c r="P396" s="275"/>
      <c r="Q396" s="275"/>
      <c r="R396" s="275"/>
    </row>
    <row r="397" spans="1:18" hidden="1" x14ac:dyDescent="0.2">
      <c r="A397" s="275" t="s">
        <v>117</v>
      </c>
      <c r="B397" s="275">
        <v>24</v>
      </c>
      <c r="C397" s="275" t="s">
        <v>63</v>
      </c>
      <c r="D397" s="275"/>
      <c r="E397" s="275"/>
      <c r="F397" s="275"/>
      <c r="G397" s="275"/>
      <c r="H397" s="275"/>
      <c r="I397" s="275"/>
      <c r="J397" s="275"/>
      <c r="K397" s="275"/>
      <c r="L397" s="275"/>
      <c r="M397" s="275"/>
      <c r="N397" s="275"/>
      <c r="O397" s="275"/>
      <c r="P397" s="275"/>
      <c r="Q397" s="275"/>
      <c r="R397" s="275"/>
    </row>
    <row r="398" spans="1:18" hidden="1" x14ac:dyDescent="0.2">
      <c r="A398" s="275" t="s">
        <v>122</v>
      </c>
      <c r="B398" s="275">
        <f>B397/I398/1000</f>
        <v>0.17021276595744683</v>
      </c>
      <c r="C398" s="275" t="s">
        <v>119</v>
      </c>
      <c r="D398" s="275"/>
      <c r="E398" s="275"/>
      <c r="F398" s="275" t="s">
        <v>123</v>
      </c>
      <c r="G398" s="275"/>
      <c r="H398" s="275"/>
      <c r="I398" s="275">
        <v>0.14099999999999999</v>
      </c>
      <c r="J398" s="275" t="s">
        <v>121</v>
      </c>
      <c r="K398" s="275"/>
      <c r="L398" s="275"/>
      <c r="M398" s="275"/>
      <c r="N398" s="275"/>
      <c r="O398" s="275"/>
      <c r="P398" s="275"/>
      <c r="Q398" s="275"/>
      <c r="R398" s="275"/>
    </row>
    <row r="399" spans="1:18" hidden="1" x14ac:dyDescent="0.2">
      <c r="A399" s="275" t="s">
        <v>124</v>
      </c>
      <c r="B399" s="275">
        <f>B397/I399</f>
        <v>2.2857142857142857E-2</v>
      </c>
      <c r="C399" s="275" t="s">
        <v>125</v>
      </c>
      <c r="D399" s="275"/>
      <c r="E399" s="275"/>
      <c r="F399" s="275" t="s">
        <v>126</v>
      </c>
      <c r="G399" s="275"/>
      <c r="H399" s="275"/>
      <c r="I399" s="275">
        <v>1050</v>
      </c>
      <c r="J399" s="275" t="s">
        <v>127</v>
      </c>
      <c r="K399" s="275"/>
      <c r="L399" s="275"/>
      <c r="M399" s="275"/>
      <c r="N399" s="275"/>
      <c r="O399" s="275"/>
      <c r="P399" s="275"/>
      <c r="Q399" s="275"/>
      <c r="R399" s="275"/>
    </row>
    <row r="400" spans="1:18" hidden="1" x14ac:dyDescent="0.2">
      <c r="A400" s="275" t="s">
        <v>217</v>
      </c>
      <c r="B400" s="276">
        <f>B397/I400*1000000</f>
        <v>5333.333333333333</v>
      </c>
      <c r="C400" s="275" t="s">
        <v>218</v>
      </c>
      <c r="D400" s="268"/>
      <c r="E400" s="277"/>
      <c r="F400" s="278" t="s">
        <v>219</v>
      </c>
      <c r="G400" s="279"/>
      <c r="H400" s="279"/>
      <c r="I400" s="275">
        <v>4500</v>
      </c>
      <c r="J400" s="275" t="s">
        <v>55</v>
      </c>
      <c r="K400" s="280"/>
      <c r="L400" s="280"/>
      <c r="M400" s="281"/>
      <c r="N400" s="280"/>
      <c r="O400" s="275"/>
      <c r="P400" s="275"/>
      <c r="Q400" s="275"/>
      <c r="R400" s="275"/>
    </row>
    <row r="401" spans="1:11" ht="64.5" hidden="1" thickBot="1" x14ac:dyDescent="0.25">
      <c r="A401" s="282" t="s">
        <v>128</v>
      </c>
      <c r="B401" s="283" t="s">
        <v>19</v>
      </c>
      <c r="C401" s="284" t="s">
        <v>130</v>
      </c>
      <c r="D401" s="285" t="s">
        <v>129</v>
      </c>
      <c r="E401" s="286" t="s">
        <v>220</v>
      </c>
      <c r="F401" s="287" t="s">
        <v>133</v>
      </c>
      <c r="G401" s="288" t="s">
        <v>194</v>
      </c>
      <c r="H401" s="288" t="s">
        <v>221</v>
      </c>
      <c r="I401" s="288" t="s">
        <v>196</v>
      </c>
      <c r="J401" s="288" t="s">
        <v>136</v>
      </c>
      <c r="K401" s="289" t="s">
        <v>137</v>
      </c>
    </row>
    <row r="402" spans="1:11" hidden="1" x14ac:dyDescent="0.2">
      <c r="A402" s="618" t="s">
        <v>222</v>
      </c>
      <c r="B402" s="290" t="s">
        <v>139</v>
      </c>
      <c r="C402" s="291">
        <v>2.1100000000000001E-5</v>
      </c>
      <c r="D402" s="291">
        <v>1.7999999999999999E-6</v>
      </c>
      <c r="E402" s="292">
        <v>9.0999999999999997E-7</v>
      </c>
      <c r="F402" s="291">
        <f>C402*$B$398</f>
        <v>3.5914893617021286E-6</v>
      </c>
      <c r="G402" s="291">
        <f>D402*$B$399</f>
        <v>4.114285714285714E-8</v>
      </c>
      <c r="H402" s="291"/>
      <c r="I402" s="291">
        <f t="shared" ref="I402:I463" si="43">MAX(F402:H402)</f>
        <v>3.5914893617021286E-6</v>
      </c>
      <c r="J402" s="293">
        <f t="shared" ref="J402:J441" si="44">I402*8760/2000</f>
        <v>1.5730723404255322E-5</v>
      </c>
      <c r="K402" s="294">
        <f t="shared" ref="K402:K441" si="45">I402*8760/2000</f>
        <v>1.5730723404255322E-5</v>
      </c>
    </row>
    <row r="403" spans="1:11" hidden="1" x14ac:dyDescent="0.2">
      <c r="A403" s="619"/>
      <c r="B403" s="295" t="s">
        <v>140</v>
      </c>
      <c r="C403" s="249">
        <v>2.53E-7</v>
      </c>
      <c r="D403" s="249">
        <v>1.7999999999999999E-6</v>
      </c>
      <c r="E403" s="249">
        <v>5.0000000000000004E-6</v>
      </c>
      <c r="F403" s="291">
        <f>C403*$B$398</f>
        <v>4.3063829787234052E-8</v>
      </c>
      <c r="G403" s="291">
        <f>D403*$B$399</f>
        <v>4.114285714285714E-8</v>
      </c>
      <c r="H403" s="291"/>
      <c r="I403" s="249">
        <f t="shared" si="43"/>
        <v>4.3063829787234052E-8</v>
      </c>
      <c r="J403" s="296">
        <f t="shared" si="44"/>
        <v>1.8861957446808514E-7</v>
      </c>
      <c r="K403" s="297">
        <f t="shared" si="45"/>
        <v>1.8861957446808514E-7</v>
      </c>
    </row>
    <row r="404" spans="1:11" hidden="1" x14ac:dyDescent="0.2">
      <c r="A404" s="619"/>
      <c r="B404" s="295" t="s">
        <v>197</v>
      </c>
      <c r="C404" s="249"/>
      <c r="D404" s="249"/>
      <c r="E404" s="249">
        <v>8.3000000000000001E-4</v>
      </c>
      <c r="F404" s="291"/>
      <c r="G404" s="291"/>
      <c r="H404" s="291"/>
      <c r="I404" s="249">
        <f t="shared" si="43"/>
        <v>0</v>
      </c>
      <c r="J404" s="296">
        <f t="shared" si="44"/>
        <v>0</v>
      </c>
      <c r="K404" s="297">
        <f t="shared" si="45"/>
        <v>0</v>
      </c>
    </row>
    <row r="405" spans="1:11" hidden="1" x14ac:dyDescent="0.2">
      <c r="A405" s="619"/>
      <c r="B405" s="295" t="s">
        <v>198</v>
      </c>
      <c r="C405" s="249"/>
      <c r="D405" s="249"/>
      <c r="E405" s="249">
        <v>3.2000000000000001E-9</v>
      </c>
      <c r="F405" s="291"/>
      <c r="G405" s="291"/>
      <c r="H405" s="291"/>
      <c r="I405" s="249">
        <f t="shared" si="43"/>
        <v>0</v>
      </c>
      <c r="J405" s="296">
        <f t="shared" si="44"/>
        <v>0</v>
      </c>
      <c r="K405" s="297">
        <f t="shared" si="45"/>
        <v>0</v>
      </c>
    </row>
    <row r="406" spans="1:11" hidden="1" x14ac:dyDescent="0.2">
      <c r="A406" s="619"/>
      <c r="B406" s="295" t="s">
        <v>199</v>
      </c>
      <c r="C406" s="249"/>
      <c r="D406" s="249"/>
      <c r="E406" s="249">
        <v>4.0000000000000001E-3</v>
      </c>
      <c r="F406" s="291"/>
      <c r="G406" s="291"/>
      <c r="H406" s="291"/>
      <c r="I406" s="249">
        <f t="shared" si="43"/>
        <v>0</v>
      </c>
      <c r="J406" s="296">
        <f t="shared" si="44"/>
        <v>0</v>
      </c>
      <c r="K406" s="297">
        <f t="shared" si="45"/>
        <v>0</v>
      </c>
    </row>
    <row r="407" spans="1:11" hidden="1" x14ac:dyDescent="0.2">
      <c r="A407" s="619"/>
      <c r="B407" s="295" t="s">
        <v>141</v>
      </c>
      <c r="C407" s="249">
        <v>1.22E-6</v>
      </c>
      <c r="D407" s="249">
        <v>2.3999999999999999E-6</v>
      </c>
      <c r="E407" s="249"/>
      <c r="F407" s="291">
        <f>C407*$B$398</f>
        <v>2.0765957446808513E-7</v>
      </c>
      <c r="G407" s="291">
        <f t="shared" ref="G407:G413" si="46">D407*$B$399</f>
        <v>5.4857142857142853E-8</v>
      </c>
      <c r="H407" s="291"/>
      <c r="I407" s="249">
        <f t="shared" si="43"/>
        <v>2.0765957446808513E-7</v>
      </c>
      <c r="J407" s="296">
        <f t="shared" si="44"/>
        <v>9.0954893617021285E-7</v>
      </c>
      <c r="K407" s="297">
        <f t="shared" si="45"/>
        <v>9.0954893617021285E-7</v>
      </c>
    </row>
    <row r="408" spans="1:11" hidden="1" x14ac:dyDescent="0.2">
      <c r="A408" s="619"/>
      <c r="B408" s="295" t="s">
        <v>142</v>
      </c>
      <c r="C408" s="249">
        <v>4.0099999999999997E-6</v>
      </c>
      <c r="D408" s="249">
        <v>1.7999999999999999E-6</v>
      </c>
      <c r="E408" s="249">
        <v>6.5E-8</v>
      </c>
      <c r="F408" s="291">
        <f>C408*$B$398</f>
        <v>6.8255319148936171E-7</v>
      </c>
      <c r="G408" s="291">
        <f t="shared" si="46"/>
        <v>4.114285714285714E-8</v>
      </c>
      <c r="H408" s="291"/>
      <c r="I408" s="249">
        <f t="shared" si="43"/>
        <v>6.8255319148936171E-7</v>
      </c>
      <c r="J408" s="296">
        <f t="shared" si="44"/>
        <v>2.9895829787234043E-6</v>
      </c>
      <c r="K408" s="297">
        <f t="shared" si="45"/>
        <v>2.9895829787234043E-6</v>
      </c>
    </row>
    <row r="409" spans="1:11" hidden="1" x14ac:dyDescent="0.2">
      <c r="A409" s="619"/>
      <c r="B409" s="295" t="s">
        <v>143</v>
      </c>
      <c r="C409" s="249">
        <v>2.0999999999999999E-3</v>
      </c>
      <c r="D409" s="249">
        <v>2.0999999999999999E-3</v>
      </c>
      <c r="E409" s="249">
        <v>4.1999999999999997E-3</v>
      </c>
      <c r="F409" s="291">
        <f>C409*$B$398</f>
        <v>3.574468085106383E-4</v>
      </c>
      <c r="G409" s="291">
        <f t="shared" si="46"/>
        <v>4.7999999999999994E-5</v>
      </c>
      <c r="H409" s="291"/>
      <c r="I409" s="249">
        <f t="shared" si="43"/>
        <v>3.574468085106383E-4</v>
      </c>
      <c r="J409" s="296">
        <f t="shared" si="44"/>
        <v>1.5656170212765958E-3</v>
      </c>
      <c r="K409" s="297">
        <f t="shared" si="45"/>
        <v>1.5656170212765958E-3</v>
      </c>
    </row>
    <row r="410" spans="1:11" hidden="1" x14ac:dyDescent="0.2">
      <c r="A410" s="619"/>
      <c r="B410" s="216" t="s">
        <v>144</v>
      </c>
      <c r="C410" s="249"/>
      <c r="D410" s="249">
        <v>1.1999999999999999E-6</v>
      </c>
      <c r="E410" s="249">
        <v>2.6000000000000001E-6</v>
      </c>
      <c r="F410" s="291"/>
      <c r="G410" s="291">
        <f t="shared" si="46"/>
        <v>2.7428571428571426E-8</v>
      </c>
      <c r="H410" s="291"/>
      <c r="I410" s="249">
        <f t="shared" si="43"/>
        <v>2.7428571428571426E-8</v>
      </c>
      <c r="J410" s="296">
        <f t="shared" si="44"/>
        <v>1.2013714285714284E-7</v>
      </c>
      <c r="K410" s="297">
        <f t="shared" si="45"/>
        <v>1.2013714285714284E-7</v>
      </c>
    </row>
    <row r="411" spans="1:11" hidden="1" x14ac:dyDescent="0.2">
      <c r="A411" s="619"/>
      <c r="B411" s="295" t="s">
        <v>145</v>
      </c>
      <c r="C411" s="249">
        <v>1.48E-6</v>
      </c>
      <c r="D411" s="249">
        <v>1.7999999999999999E-6</v>
      </c>
      <c r="E411" s="249">
        <v>9.9999999999999995E-8</v>
      </c>
      <c r="F411" s="291">
        <f>C411*$B$398</f>
        <v>2.5191489361702131E-7</v>
      </c>
      <c r="G411" s="291">
        <f t="shared" si="46"/>
        <v>4.114285714285714E-8</v>
      </c>
      <c r="H411" s="291"/>
      <c r="I411" s="249">
        <f t="shared" si="43"/>
        <v>2.5191489361702131E-7</v>
      </c>
      <c r="J411" s="296">
        <f t="shared" si="44"/>
        <v>1.1033872340425532E-6</v>
      </c>
      <c r="K411" s="297">
        <f t="shared" si="45"/>
        <v>1.1033872340425532E-6</v>
      </c>
    </row>
    <row r="412" spans="1:11" hidden="1" x14ac:dyDescent="0.2">
      <c r="A412" s="619"/>
      <c r="B412" s="295" t="s">
        <v>146</v>
      </c>
      <c r="C412" s="249">
        <v>2.26E-6</v>
      </c>
      <c r="D412" s="249">
        <v>1.1999999999999999E-6</v>
      </c>
      <c r="E412" s="249">
        <v>9.2999999999999999E-8</v>
      </c>
      <c r="F412" s="291">
        <f>C412*$B$398</f>
        <v>3.8468085106382985E-7</v>
      </c>
      <c r="G412" s="291">
        <f t="shared" si="46"/>
        <v>2.7428571428571426E-8</v>
      </c>
      <c r="H412" s="291"/>
      <c r="I412" s="249">
        <f t="shared" si="43"/>
        <v>3.8468085106382985E-7</v>
      </c>
      <c r="J412" s="296">
        <f t="shared" si="44"/>
        <v>1.6849021276595748E-6</v>
      </c>
      <c r="K412" s="297">
        <f t="shared" si="45"/>
        <v>1.6849021276595748E-6</v>
      </c>
    </row>
    <row r="413" spans="1:11" hidden="1" x14ac:dyDescent="0.2">
      <c r="A413" s="619"/>
      <c r="B413" s="295" t="s">
        <v>147</v>
      </c>
      <c r="C413" s="249">
        <v>1.48E-6</v>
      </c>
      <c r="D413" s="249">
        <v>1.7999999999999999E-6</v>
      </c>
      <c r="E413" s="249">
        <v>3.5999999999999998E-8</v>
      </c>
      <c r="F413" s="291">
        <f>C413*$B$398</f>
        <v>2.5191489361702131E-7</v>
      </c>
      <c r="G413" s="291">
        <f t="shared" si="46"/>
        <v>4.114285714285714E-8</v>
      </c>
      <c r="H413" s="291"/>
      <c r="I413" s="249">
        <f t="shared" si="43"/>
        <v>2.5191489361702131E-7</v>
      </c>
      <c r="J413" s="296">
        <f t="shared" si="44"/>
        <v>1.1033872340425532E-6</v>
      </c>
      <c r="K413" s="297">
        <f t="shared" si="45"/>
        <v>1.1033872340425532E-6</v>
      </c>
    </row>
    <row r="414" spans="1:11" hidden="1" x14ac:dyDescent="0.2">
      <c r="A414" s="619"/>
      <c r="B414" s="295" t="s">
        <v>200</v>
      </c>
      <c r="C414" s="249"/>
      <c r="D414" s="249"/>
      <c r="E414" s="249">
        <v>4.6999999999999997E-8</v>
      </c>
      <c r="F414" s="291"/>
      <c r="G414" s="291"/>
      <c r="H414" s="291"/>
      <c r="I414" s="249">
        <f t="shared" si="43"/>
        <v>0</v>
      </c>
      <c r="J414" s="296">
        <f t="shared" si="44"/>
        <v>0</v>
      </c>
      <c r="K414" s="297">
        <f t="shared" si="45"/>
        <v>0</v>
      </c>
    </row>
    <row r="415" spans="1:11" hidden="1" x14ac:dyDescent="0.2">
      <c r="A415" s="619"/>
      <c r="B415" s="295" t="s">
        <v>201</v>
      </c>
      <c r="C415" s="249"/>
      <c r="D415" s="249"/>
      <c r="E415" s="249">
        <v>4.5000000000000003E-5</v>
      </c>
      <c r="F415" s="291"/>
      <c r="G415" s="291"/>
      <c r="H415" s="291"/>
      <c r="I415" s="249">
        <f t="shared" si="43"/>
        <v>0</v>
      </c>
      <c r="J415" s="296">
        <f t="shared" si="44"/>
        <v>0</v>
      </c>
      <c r="K415" s="297">
        <f t="shared" si="45"/>
        <v>0</v>
      </c>
    </row>
    <row r="416" spans="1:11" hidden="1" x14ac:dyDescent="0.2">
      <c r="A416" s="619"/>
      <c r="B416" s="295" t="s">
        <v>202</v>
      </c>
      <c r="C416" s="249"/>
      <c r="D416" s="249"/>
      <c r="E416" s="249">
        <v>7.9000000000000001E-4</v>
      </c>
      <c r="F416" s="291"/>
      <c r="G416" s="291"/>
      <c r="H416" s="291"/>
      <c r="I416" s="249">
        <f t="shared" si="43"/>
        <v>0</v>
      </c>
      <c r="J416" s="296">
        <f t="shared" si="44"/>
        <v>0</v>
      </c>
      <c r="K416" s="297">
        <f t="shared" si="45"/>
        <v>0</v>
      </c>
    </row>
    <row r="417" spans="1:11" hidden="1" x14ac:dyDescent="0.2">
      <c r="A417" s="619"/>
      <c r="B417" s="295" t="s">
        <v>203</v>
      </c>
      <c r="C417" s="249"/>
      <c r="D417" s="249"/>
      <c r="E417" s="249">
        <v>3.3000000000000003E-5</v>
      </c>
      <c r="F417" s="291"/>
      <c r="G417" s="291"/>
      <c r="H417" s="291"/>
      <c r="I417" s="249">
        <f t="shared" si="43"/>
        <v>0</v>
      </c>
      <c r="J417" s="296">
        <f t="shared" si="44"/>
        <v>0</v>
      </c>
      <c r="K417" s="297">
        <f t="shared" si="45"/>
        <v>0</v>
      </c>
    </row>
    <row r="418" spans="1:11" hidden="1" x14ac:dyDescent="0.2">
      <c r="A418" s="619"/>
      <c r="B418" s="295" t="s">
        <v>204</v>
      </c>
      <c r="C418" s="249"/>
      <c r="D418" s="249"/>
      <c r="E418" s="249">
        <v>2.8E-5</v>
      </c>
      <c r="F418" s="291"/>
      <c r="G418" s="291"/>
      <c r="H418" s="291"/>
      <c r="I418" s="249">
        <f t="shared" si="43"/>
        <v>0</v>
      </c>
      <c r="J418" s="296">
        <f t="shared" si="44"/>
        <v>0</v>
      </c>
      <c r="K418" s="297">
        <f t="shared" si="45"/>
        <v>0</v>
      </c>
    </row>
    <row r="419" spans="1:11" hidden="1" x14ac:dyDescent="0.2">
      <c r="A419" s="619"/>
      <c r="B419" s="295" t="s">
        <v>148</v>
      </c>
      <c r="C419" s="249">
        <v>2.3800000000000001E-6</v>
      </c>
      <c r="D419" s="249">
        <v>1.7999999999999999E-6</v>
      </c>
      <c r="E419" s="249">
        <v>3.8E-3</v>
      </c>
      <c r="F419" s="291">
        <f>C419*$B$398</f>
        <v>4.051063829787235E-7</v>
      </c>
      <c r="G419" s="291">
        <f t="shared" ref="G419:G427" si="47">D419*$B$399</f>
        <v>4.114285714285714E-8</v>
      </c>
      <c r="H419" s="291"/>
      <c r="I419" s="249">
        <f t="shared" si="43"/>
        <v>4.051063829787235E-7</v>
      </c>
      <c r="J419" s="296">
        <f t="shared" si="44"/>
        <v>1.7743659574468088E-6</v>
      </c>
      <c r="K419" s="297">
        <f t="shared" si="45"/>
        <v>1.7743659574468088E-6</v>
      </c>
    </row>
    <row r="420" spans="1:11" hidden="1" x14ac:dyDescent="0.2">
      <c r="A420" s="619"/>
      <c r="B420" s="295" t="s">
        <v>149</v>
      </c>
      <c r="C420" s="249">
        <v>1.6700000000000001E-6</v>
      </c>
      <c r="D420" s="249">
        <v>1.1999999999999999E-6</v>
      </c>
      <c r="E420" s="249">
        <v>9.1000000000000004E-9</v>
      </c>
      <c r="F420" s="291">
        <f>C420*$B$398</f>
        <v>2.8425531914893623E-7</v>
      </c>
      <c r="G420" s="291">
        <f t="shared" si="47"/>
        <v>2.7428571428571426E-8</v>
      </c>
      <c r="H420" s="291"/>
      <c r="I420" s="249">
        <f t="shared" si="43"/>
        <v>2.8425531914893623E-7</v>
      </c>
      <c r="J420" s="296">
        <f t="shared" si="44"/>
        <v>1.2450382978723407E-6</v>
      </c>
      <c r="K420" s="297">
        <f t="shared" si="45"/>
        <v>1.2450382978723407E-6</v>
      </c>
    </row>
    <row r="421" spans="1:11" hidden="1" x14ac:dyDescent="0.2">
      <c r="A421" s="619"/>
      <c r="B421" s="295" t="s">
        <v>150</v>
      </c>
      <c r="C421" s="249"/>
      <c r="D421" s="226">
        <v>1.1999999999999999E-3</v>
      </c>
      <c r="E421" s="249"/>
      <c r="F421" s="291"/>
      <c r="G421" s="291">
        <f t="shared" si="47"/>
        <v>2.7428571428571425E-5</v>
      </c>
      <c r="H421" s="291"/>
      <c r="I421" s="249">
        <f t="shared" si="43"/>
        <v>2.7428571428571425E-5</v>
      </c>
      <c r="J421" s="296">
        <f t="shared" si="44"/>
        <v>1.2013714285714284E-4</v>
      </c>
      <c r="K421" s="297">
        <f t="shared" si="45"/>
        <v>1.2013714285714284E-4</v>
      </c>
    </row>
    <row r="422" spans="1:11" hidden="1" x14ac:dyDescent="0.2">
      <c r="A422" s="619"/>
      <c r="B422" s="295" t="s">
        <v>205</v>
      </c>
      <c r="C422" s="249"/>
      <c r="D422" s="249"/>
      <c r="E422" s="249">
        <v>1.8E-7</v>
      </c>
      <c r="F422" s="291"/>
      <c r="G422" s="291">
        <f t="shared" si="47"/>
        <v>0</v>
      </c>
      <c r="H422" s="291"/>
      <c r="I422" s="249">
        <f t="shared" si="43"/>
        <v>0</v>
      </c>
      <c r="J422" s="296">
        <f t="shared" si="44"/>
        <v>0</v>
      </c>
      <c r="K422" s="297">
        <f t="shared" si="45"/>
        <v>0</v>
      </c>
    </row>
    <row r="423" spans="1:11" hidden="1" x14ac:dyDescent="0.2">
      <c r="A423" s="619"/>
      <c r="B423" s="295" t="s">
        <v>151</v>
      </c>
      <c r="C423" s="249">
        <v>6.3600000000000001E-5</v>
      </c>
      <c r="D423" s="249"/>
      <c r="E423" s="249">
        <v>3.1000000000000001E-5</v>
      </c>
      <c r="F423" s="291">
        <f>C423*$B$398</f>
        <v>1.0825531914893618E-5</v>
      </c>
      <c r="G423" s="291">
        <f t="shared" si="47"/>
        <v>0</v>
      </c>
      <c r="H423" s="291"/>
      <c r="I423" s="249">
        <f t="shared" si="43"/>
        <v>1.0825531914893618E-5</v>
      </c>
      <c r="J423" s="296">
        <f t="shared" si="44"/>
        <v>4.7415829787234048E-5</v>
      </c>
      <c r="K423" s="297">
        <f t="shared" si="45"/>
        <v>4.7415829787234048E-5</v>
      </c>
    </row>
    <row r="424" spans="1:11" hidden="1" x14ac:dyDescent="0.2">
      <c r="A424" s="619"/>
      <c r="B424" s="295" t="s">
        <v>152</v>
      </c>
      <c r="C424" s="249">
        <v>4.8400000000000002E-6</v>
      </c>
      <c r="D424" s="249">
        <v>3.0000000000000001E-6</v>
      </c>
      <c r="E424" s="249">
        <v>1.5999999999999999E-6</v>
      </c>
      <c r="F424" s="291">
        <f>C424*$B$398</f>
        <v>8.2382978723404273E-7</v>
      </c>
      <c r="G424" s="291">
        <f t="shared" si="47"/>
        <v>6.8571428571428573E-8</v>
      </c>
      <c r="H424" s="291"/>
      <c r="I424" s="249">
        <f t="shared" si="43"/>
        <v>8.2382978723404273E-7</v>
      </c>
      <c r="J424" s="296">
        <f t="shared" si="44"/>
        <v>3.6083744680851071E-6</v>
      </c>
      <c r="K424" s="297">
        <f t="shared" si="45"/>
        <v>3.6083744680851071E-6</v>
      </c>
    </row>
    <row r="425" spans="1:11" hidden="1" x14ac:dyDescent="0.2">
      <c r="A425" s="619"/>
      <c r="B425" s="295" t="s">
        <v>153</v>
      </c>
      <c r="C425" s="249">
        <v>4.4700000000000004E-6</v>
      </c>
      <c r="D425" s="249">
        <v>2.7999999999999999E-6</v>
      </c>
      <c r="E425" s="249">
        <v>3.4000000000000001E-6</v>
      </c>
      <c r="F425" s="291">
        <f>C425*$B$398</f>
        <v>7.6085106382978739E-7</v>
      </c>
      <c r="G425" s="291">
        <f t="shared" si="47"/>
        <v>6.3999999999999991E-8</v>
      </c>
      <c r="H425" s="291"/>
      <c r="I425" s="249">
        <f t="shared" si="43"/>
        <v>7.6085106382978739E-7</v>
      </c>
      <c r="J425" s="296">
        <f t="shared" si="44"/>
        <v>3.3325276595744687E-6</v>
      </c>
      <c r="K425" s="297">
        <f t="shared" si="45"/>
        <v>3.3325276595744687E-6</v>
      </c>
    </row>
    <row r="426" spans="1:11" hidden="1" x14ac:dyDescent="0.2">
      <c r="A426" s="619"/>
      <c r="B426" s="295" t="s">
        <v>154</v>
      </c>
      <c r="C426" s="249">
        <v>3.3000000000000002E-2</v>
      </c>
      <c r="D426" s="249">
        <v>7.4999999999999997E-2</v>
      </c>
      <c r="E426" s="249">
        <v>4.4000000000000003E-3</v>
      </c>
      <c r="F426" s="291">
        <f>C426*$B$398</f>
        <v>5.6170212765957461E-3</v>
      </c>
      <c r="G426" s="291">
        <f t="shared" si="47"/>
        <v>1.7142857142857142E-3</v>
      </c>
      <c r="H426" s="291"/>
      <c r="I426" s="249">
        <f t="shared" si="43"/>
        <v>5.6170212765957461E-3</v>
      </c>
      <c r="J426" s="296">
        <f t="shared" si="44"/>
        <v>2.4602553191489365E-2</v>
      </c>
      <c r="K426" s="297">
        <f t="shared" si="45"/>
        <v>2.4602553191489365E-2</v>
      </c>
    </row>
    <row r="427" spans="1:11" hidden="1" x14ac:dyDescent="0.2">
      <c r="A427" s="619"/>
      <c r="B427" s="295" t="s">
        <v>155</v>
      </c>
      <c r="C427" s="230">
        <v>1.8</v>
      </c>
      <c r="D427" s="249">
        <v>1.8</v>
      </c>
      <c r="E427" s="249"/>
      <c r="F427" s="291">
        <f>C427*$B$398</f>
        <v>0.30638297872340431</v>
      </c>
      <c r="G427" s="291">
        <f t="shared" si="47"/>
        <v>4.1142857142857141E-2</v>
      </c>
      <c r="H427" s="291"/>
      <c r="I427" s="249">
        <f t="shared" si="43"/>
        <v>0.30638297872340431</v>
      </c>
      <c r="J427" s="296">
        <f>I427*8760/2000</f>
        <v>1.3419574468085109</v>
      </c>
      <c r="K427" s="298">
        <f t="shared" si="45"/>
        <v>1.3419574468085109</v>
      </c>
    </row>
    <row r="428" spans="1:11" hidden="1" x14ac:dyDescent="0.2">
      <c r="A428" s="619"/>
      <c r="B428" s="295" t="s">
        <v>206</v>
      </c>
      <c r="C428" s="230"/>
      <c r="D428" s="249"/>
      <c r="E428" s="249">
        <v>1.9E-2</v>
      </c>
      <c r="F428" s="291"/>
      <c r="G428" s="291"/>
      <c r="H428" s="291"/>
      <c r="I428" s="249">
        <f t="shared" si="43"/>
        <v>0</v>
      </c>
      <c r="J428" s="296">
        <f t="shared" si="44"/>
        <v>0</v>
      </c>
      <c r="K428" s="297">
        <f t="shared" si="45"/>
        <v>0</v>
      </c>
    </row>
    <row r="429" spans="1:11" hidden="1" x14ac:dyDescent="0.2">
      <c r="A429" s="619"/>
      <c r="B429" s="295" t="s">
        <v>156</v>
      </c>
      <c r="C429" s="249">
        <v>2.1399999999999998E-6</v>
      </c>
      <c r="D429" s="249">
        <v>1.7999999999999999E-6</v>
      </c>
      <c r="E429" s="249">
        <v>8.6999999999999998E-8</v>
      </c>
      <c r="F429" s="291">
        <f>C429*$B$398</f>
        <v>3.6425531914893621E-7</v>
      </c>
      <c r="G429" s="291">
        <f>D429*$B$399</f>
        <v>4.114285714285714E-8</v>
      </c>
      <c r="H429" s="291"/>
      <c r="I429" s="249">
        <f t="shared" si="43"/>
        <v>3.6425531914893621E-7</v>
      </c>
      <c r="J429" s="296">
        <f t="shared" si="44"/>
        <v>1.5954382978723405E-6</v>
      </c>
      <c r="K429" s="297">
        <f t="shared" si="45"/>
        <v>1.5954382978723405E-6</v>
      </c>
    </row>
    <row r="430" spans="1:11" hidden="1" x14ac:dyDescent="0.2">
      <c r="A430" s="619"/>
      <c r="B430" s="295" t="s">
        <v>157</v>
      </c>
      <c r="C430" s="249">
        <v>1.1299999999999999E-3</v>
      </c>
      <c r="D430" s="249">
        <v>6.0999999999999997E-4</v>
      </c>
      <c r="E430" s="249">
        <v>9.7E-5</v>
      </c>
      <c r="F430" s="291">
        <f>C430*$B$398</f>
        <v>1.923404255319149E-4</v>
      </c>
      <c r="G430" s="291">
        <f>D430*$B$399</f>
        <v>1.3942857142857142E-5</v>
      </c>
      <c r="H430" s="291"/>
      <c r="I430" s="249">
        <f t="shared" si="43"/>
        <v>1.923404255319149E-4</v>
      </c>
      <c r="J430" s="296">
        <f t="shared" si="44"/>
        <v>8.424510638297873E-4</v>
      </c>
      <c r="K430" s="297">
        <f t="shared" si="45"/>
        <v>8.424510638297873E-4</v>
      </c>
    </row>
    <row r="431" spans="1:11" hidden="1" x14ac:dyDescent="0.2">
      <c r="A431" s="619"/>
      <c r="B431" s="295" t="s">
        <v>207</v>
      </c>
      <c r="C431" s="249"/>
      <c r="D431" s="249"/>
      <c r="E431" s="249">
        <v>1.1000000000000001E-7</v>
      </c>
      <c r="F431" s="291"/>
      <c r="G431" s="291"/>
      <c r="H431" s="291"/>
      <c r="I431" s="249">
        <f t="shared" si="43"/>
        <v>0</v>
      </c>
      <c r="J431" s="296">
        <f t="shared" si="44"/>
        <v>0</v>
      </c>
      <c r="K431" s="297">
        <f t="shared" si="45"/>
        <v>0</v>
      </c>
    </row>
    <row r="432" spans="1:11" hidden="1" x14ac:dyDescent="0.2">
      <c r="A432" s="619"/>
      <c r="B432" s="295" t="s">
        <v>208</v>
      </c>
      <c r="C432" s="249"/>
      <c r="D432" s="249"/>
      <c r="E432" s="249">
        <v>5.1E-8</v>
      </c>
      <c r="F432" s="291"/>
      <c r="G432" s="291"/>
      <c r="H432" s="291"/>
      <c r="I432" s="249">
        <f t="shared" si="43"/>
        <v>0</v>
      </c>
      <c r="J432" s="296">
        <f t="shared" si="44"/>
        <v>0</v>
      </c>
      <c r="K432" s="297">
        <f t="shared" si="45"/>
        <v>0</v>
      </c>
    </row>
    <row r="433" spans="1:15" hidden="1" x14ac:dyDescent="0.2">
      <c r="A433" s="619"/>
      <c r="B433" s="295" t="s">
        <v>158</v>
      </c>
      <c r="C433" s="249">
        <v>1.0499999999999999E-5</v>
      </c>
      <c r="D433" s="249">
        <v>1.7E-5</v>
      </c>
      <c r="E433" s="249">
        <v>6.9999999999999999E-6</v>
      </c>
      <c r="F433" s="291">
        <f>C433*$B$398</f>
        <v>1.7872340425531915E-6</v>
      </c>
      <c r="G433" s="291">
        <f>D433*$B$399</f>
        <v>3.8857142857142858E-7</v>
      </c>
      <c r="H433" s="291"/>
      <c r="I433" s="249">
        <f t="shared" si="43"/>
        <v>1.7872340425531915E-6</v>
      </c>
      <c r="J433" s="296">
        <f t="shared" si="44"/>
        <v>7.8280851063829788E-6</v>
      </c>
      <c r="K433" s="297">
        <f t="shared" si="45"/>
        <v>7.8280851063829788E-6</v>
      </c>
    </row>
    <row r="434" spans="1:15" hidden="1" x14ac:dyDescent="0.2">
      <c r="A434" s="619"/>
      <c r="B434" s="295" t="s">
        <v>209</v>
      </c>
      <c r="C434" s="249"/>
      <c r="D434" s="249"/>
      <c r="E434" s="249">
        <v>5.1E-5</v>
      </c>
      <c r="F434" s="291"/>
      <c r="G434" s="291"/>
      <c r="H434" s="291"/>
      <c r="I434" s="249">
        <f t="shared" si="43"/>
        <v>0</v>
      </c>
      <c r="J434" s="296">
        <f t="shared" si="44"/>
        <v>0</v>
      </c>
      <c r="K434" s="297">
        <f t="shared" si="45"/>
        <v>0</v>
      </c>
    </row>
    <row r="435" spans="1:15" hidden="1" x14ac:dyDescent="0.2">
      <c r="A435" s="619"/>
      <c r="B435" s="295" t="s">
        <v>159</v>
      </c>
      <c r="C435" s="249">
        <v>4.25E-6</v>
      </c>
      <c r="D435" s="249">
        <v>5.0000000000000004E-6</v>
      </c>
      <c r="E435" s="249">
        <v>3.7000000000000002E-6</v>
      </c>
      <c r="F435" s="291">
        <f>C435*$B$398</f>
        <v>7.23404255319149E-7</v>
      </c>
      <c r="G435" s="291">
        <f>D435*$B$399</f>
        <v>1.142857142857143E-7</v>
      </c>
      <c r="H435" s="291"/>
      <c r="I435" s="249">
        <f t="shared" si="43"/>
        <v>7.23404255319149E-7</v>
      </c>
      <c r="J435" s="296">
        <f t="shared" si="44"/>
        <v>3.1685106382978728E-6</v>
      </c>
      <c r="K435" s="297">
        <f t="shared" si="45"/>
        <v>3.1685106382978728E-6</v>
      </c>
    </row>
    <row r="436" spans="1:15" hidden="1" x14ac:dyDescent="0.2">
      <c r="A436" s="619"/>
      <c r="B436" s="295" t="s">
        <v>210</v>
      </c>
      <c r="C436" s="249"/>
      <c r="D436" s="249"/>
      <c r="E436" s="249">
        <v>1.9E-3</v>
      </c>
      <c r="F436" s="291"/>
      <c r="G436" s="291"/>
      <c r="H436" s="291"/>
      <c r="I436" s="249">
        <f t="shared" si="43"/>
        <v>0</v>
      </c>
      <c r="J436" s="296">
        <f t="shared" si="44"/>
        <v>0</v>
      </c>
      <c r="K436" s="297">
        <f t="shared" si="45"/>
        <v>0</v>
      </c>
    </row>
    <row r="437" spans="1:15" hidden="1" x14ac:dyDescent="0.2">
      <c r="A437" s="619"/>
      <c r="B437" s="295" t="s">
        <v>211</v>
      </c>
      <c r="C437" s="249"/>
      <c r="D437" s="249"/>
      <c r="E437" s="249">
        <v>8.5999999999999997E-12</v>
      </c>
      <c r="F437" s="291"/>
      <c r="G437" s="291"/>
      <c r="H437" s="291"/>
      <c r="I437" s="249">
        <f t="shared" si="43"/>
        <v>0</v>
      </c>
      <c r="J437" s="296">
        <f t="shared" si="44"/>
        <v>0</v>
      </c>
      <c r="K437" s="297">
        <f t="shared" si="45"/>
        <v>0</v>
      </c>
    </row>
    <row r="438" spans="1:15" hidden="1" x14ac:dyDescent="0.2">
      <c r="A438" s="619"/>
      <c r="B438" s="295" t="s">
        <v>160</v>
      </c>
      <c r="C438" s="249"/>
      <c r="D438" s="249">
        <v>3.3999999999999998E-3</v>
      </c>
      <c r="E438" s="249">
        <v>9.2000000000000003E-4</v>
      </c>
      <c r="F438" s="291"/>
      <c r="G438" s="291">
        <f>D438*$B$399</f>
        <v>7.7714285714285708E-5</v>
      </c>
      <c r="H438" s="291"/>
      <c r="I438" s="249">
        <f t="shared" si="43"/>
        <v>7.7714285714285708E-5</v>
      </c>
      <c r="J438" s="296">
        <f t="shared" si="44"/>
        <v>3.4038857142857135E-4</v>
      </c>
      <c r="K438" s="297">
        <f t="shared" si="45"/>
        <v>3.4038857142857135E-4</v>
      </c>
    </row>
    <row r="439" spans="1:15" hidden="1" x14ac:dyDescent="0.2">
      <c r="A439" s="619"/>
      <c r="B439" s="295" t="s">
        <v>212</v>
      </c>
      <c r="C439" s="249"/>
      <c r="D439" s="249"/>
      <c r="E439" s="249">
        <v>2.1999999999999998E-8</v>
      </c>
      <c r="F439" s="291"/>
      <c r="G439" s="291"/>
      <c r="H439" s="291"/>
      <c r="I439" s="249">
        <f t="shared" si="43"/>
        <v>0</v>
      </c>
      <c r="J439" s="296">
        <f t="shared" si="44"/>
        <v>0</v>
      </c>
      <c r="K439" s="297">
        <f t="shared" si="45"/>
        <v>0</v>
      </c>
    </row>
    <row r="440" spans="1:15" hidden="1" x14ac:dyDescent="0.2">
      <c r="A440" s="619"/>
      <c r="B440" s="295" t="s">
        <v>161</v>
      </c>
      <c r="C440" s="249">
        <v>1.0900000000000001E-4</v>
      </c>
      <c r="D440" s="249"/>
      <c r="E440" s="249">
        <v>2.5000000000000001E-5</v>
      </c>
      <c r="F440" s="291">
        <f>C440*$B$398</f>
        <v>1.8553191489361707E-5</v>
      </c>
      <c r="G440" s="291"/>
      <c r="H440" s="291"/>
      <c r="I440" s="249">
        <f t="shared" si="43"/>
        <v>1.8553191489361707E-5</v>
      </c>
      <c r="J440" s="296">
        <f t="shared" si="44"/>
        <v>8.1262978723404278E-5</v>
      </c>
      <c r="K440" s="297">
        <f t="shared" si="45"/>
        <v>8.1262978723404278E-5</v>
      </c>
    </row>
    <row r="441" spans="1:15" hidden="1" x14ac:dyDescent="0.2">
      <c r="A441" s="619"/>
      <c r="B441" s="299" t="s">
        <v>213</v>
      </c>
      <c r="C441" s="249"/>
      <c r="D441" s="249"/>
      <c r="E441" s="249">
        <v>1.8E-5</v>
      </c>
      <c r="F441" s="291"/>
      <c r="G441" s="291"/>
      <c r="H441" s="291"/>
      <c r="I441" s="249">
        <f t="shared" si="43"/>
        <v>0</v>
      </c>
      <c r="J441" s="296">
        <f t="shared" si="44"/>
        <v>0</v>
      </c>
      <c r="K441" s="297">
        <f t="shared" si="45"/>
        <v>0</v>
      </c>
    </row>
    <row r="442" spans="1:15" hidden="1" x14ac:dyDescent="0.2">
      <c r="A442" s="619"/>
      <c r="B442" s="295" t="s">
        <v>162</v>
      </c>
      <c r="C442" s="226"/>
      <c r="D442" s="226">
        <v>5.2500000000000003E-3</v>
      </c>
      <c r="E442" s="226"/>
      <c r="F442" s="291"/>
      <c r="G442" s="291">
        <f t="shared" ref="G442:G463" si="48">D442*$B$399</f>
        <v>1.2E-4</v>
      </c>
      <c r="H442" s="291"/>
      <c r="I442" s="249">
        <f t="shared" si="43"/>
        <v>1.2E-4</v>
      </c>
      <c r="J442" s="296">
        <f>I442*8760/2000</f>
        <v>5.2560000000000009E-4</v>
      </c>
      <c r="K442" s="297">
        <f>I442*8760/2000</f>
        <v>5.2560000000000009E-4</v>
      </c>
      <c r="M442" s="300"/>
      <c r="N442" s="300"/>
      <c r="O442" s="300"/>
    </row>
    <row r="443" spans="1:15" hidden="1" x14ac:dyDescent="0.2">
      <c r="A443" s="619"/>
      <c r="B443" s="295" t="s">
        <v>163</v>
      </c>
      <c r="C443" s="226">
        <v>1.7200000000000001E-4</v>
      </c>
      <c r="D443" s="296">
        <v>2.0000000000000001E-4</v>
      </c>
      <c r="E443" s="296">
        <v>2.1999999999999999E-5</v>
      </c>
      <c r="F443" s="291">
        <f t="shared" ref="F443:F463" si="49">C443*$B$398</f>
        <v>2.9276595744680857E-5</v>
      </c>
      <c r="G443" s="291">
        <f t="shared" si="48"/>
        <v>4.5714285714285719E-6</v>
      </c>
      <c r="H443" s="291"/>
      <c r="I443" s="249">
        <f t="shared" si="43"/>
        <v>2.9276595744680857E-5</v>
      </c>
      <c r="J443" s="293">
        <f>I443*8760/2000</f>
        <v>1.2823148936170215E-4</v>
      </c>
      <c r="K443" s="294">
        <f>I443*8760/2000</f>
        <v>1.2823148936170215E-4</v>
      </c>
      <c r="M443" s="300"/>
      <c r="N443" s="300"/>
      <c r="O443" s="300"/>
    </row>
    <row r="444" spans="1:15" hidden="1" x14ac:dyDescent="0.2">
      <c r="A444" s="619"/>
      <c r="B444" s="295" t="s">
        <v>164</v>
      </c>
      <c r="C444" s="226">
        <v>1.2899999999999999E-4</v>
      </c>
      <c r="D444" s="296">
        <v>1.2E-5</v>
      </c>
      <c r="E444" s="296">
        <v>1.1000000000000001E-6</v>
      </c>
      <c r="F444" s="291">
        <f t="shared" si="49"/>
        <v>2.1957446808510641E-5</v>
      </c>
      <c r="G444" s="291">
        <f t="shared" si="48"/>
        <v>2.7428571428571429E-7</v>
      </c>
      <c r="H444" s="291"/>
      <c r="I444" s="249">
        <f t="shared" si="43"/>
        <v>2.1957446808510641E-5</v>
      </c>
      <c r="J444" s="296">
        <f t="shared" ref="J444:J450" si="50">I444*8760/2000</f>
        <v>9.6173617021276604E-5</v>
      </c>
      <c r="K444" s="297">
        <f t="shared" ref="K444:K450" si="51">I444*8760/2000</f>
        <v>9.6173617021276604E-5</v>
      </c>
      <c r="M444" s="300"/>
      <c r="N444" s="300"/>
      <c r="O444" s="300"/>
    </row>
    <row r="445" spans="1:15" hidden="1" x14ac:dyDescent="0.2">
      <c r="A445" s="619"/>
      <c r="B445" s="295" t="s">
        <v>165</v>
      </c>
      <c r="C445" s="226">
        <v>1.2899999999999999E-4</v>
      </c>
      <c r="D445" s="296">
        <v>1.1000000000000001E-3</v>
      </c>
      <c r="E445" s="296">
        <v>4.0999999999999997E-6</v>
      </c>
      <c r="F445" s="291">
        <f t="shared" si="49"/>
        <v>2.1957446808510641E-5</v>
      </c>
      <c r="G445" s="291">
        <f t="shared" si="48"/>
        <v>2.5142857142857143E-5</v>
      </c>
      <c r="H445" s="291"/>
      <c r="I445" s="249">
        <f t="shared" si="43"/>
        <v>2.5142857142857143E-5</v>
      </c>
      <c r="J445" s="296">
        <f t="shared" si="50"/>
        <v>1.1012571428571428E-4</v>
      </c>
      <c r="K445" s="297">
        <f t="shared" si="51"/>
        <v>1.1012571428571428E-4</v>
      </c>
      <c r="M445" s="300"/>
      <c r="N445" s="300"/>
      <c r="O445" s="300"/>
    </row>
    <row r="446" spans="1:15" hidden="1" x14ac:dyDescent="0.2">
      <c r="A446" s="619"/>
      <c r="B446" s="295" t="s">
        <v>166</v>
      </c>
      <c r="C446" s="226">
        <v>1.2899999999999999E-4</v>
      </c>
      <c r="D446" s="296">
        <v>1.4E-3</v>
      </c>
      <c r="E446" s="296">
        <v>2.0999999999999999E-5</v>
      </c>
      <c r="F446" s="291">
        <f t="shared" si="49"/>
        <v>2.1957446808510641E-5</v>
      </c>
      <c r="G446" s="291">
        <f t="shared" si="48"/>
        <v>3.1999999999999999E-5</v>
      </c>
      <c r="H446" s="291"/>
      <c r="I446" s="249">
        <f t="shared" si="43"/>
        <v>3.1999999999999999E-5</v>
      </c>
      <c r="J446" s="296">
        <f t="shared" si="50"/>
        <v>1.4016000000000001E-4</v>
      </c>
      <c r="K446" s="297">
        <f t="shared" si="51"/>
        <v>1.4016000000000001E-4</v>
      </c>
      <c r="M446" s="300"/>
      <c r="N446" s="300"/>
      <c r="O446" s="300"/>
    </row>
    <row r="447" spans="1:15" hidden="1" x14ac:dyDescent="0.2">
      <c r="A447" s="619"/>
      <c r="B447" s="295" t="s">
        <v>167</v>
      </c>
      <c r="C447" s="226">
        <v>1.2899999999999999E-4</v>
      </c>
      <c r="D447" s="296">
        <v>8.3999999999999995E-5</v>
      </c>
      <c r="E447" s="296">
        <v>6.4999999999999996E-6</v>
      </c>
      <c r="F447" s="291">
        <f t="shared" si="49"/>
        <v>2.1957446808510641E-5</v>
      </c>
      <c r="G447" s="291">
        <f t="shared" si="48"/>
        <v>1.9199999999999998E-6</v>
      </c>
      <c r="H447" s="291"/>
      <c r="I447" s="249">
        <f t="shared" si="43"/>
        <v>2.1957446808510641E-5</v>
      </c>
      <c r="J447" s="296">
        <f t="shared" si="50"/>
        <v>9.6173617021276604E-5</v>
      </c>
      <c r="K447" s="297">
        <f t="shared" si="51"/>
        <v>9.6173617021276604E-5</v>
      </c>
      <c r="M447" s="300"/>
      <c r="N447" s="300"/>
      <c r="O447" s="300"/>
    </row>
    <row r="448" spans="1:15" hidden="1" x14ac:dyDescent="0.2">
      <c r="A448" s="619"/>
      <c r="B448" s="295" t="s">
        <v>168</v>
      </c>
      <c r="C448" s="226">
        <v>2.5799999999999998E-4</v>
      </c>
      <c r="D448" s="226">
        <v>3.8000000000000002E-4</v>
      </c>
      <c r="E448" s="226">
        <v>1.6000000000000001E-3</v>
      </c>
      <c r="F448" s="291">
        <f t="shared" si="49"/>
        <v>4.3914893617021282E-5</v>
      </c>
      <c r="G448" s="291">
        <f t="shared" si="48"/>
        <v>8.6857142857142865E-6</v>
      </c>
      <c r="H448" s="291"/>
      <c r="I448" s="249">
        <f t="shared" si="43"/>
        <v>4.3914893617021282E-5</v>
      </c>
      <c r="J448" s="296">
        <f t="shared" si="50"/>
        <v>1.9234723404255321E-4</v>
      </c>
      <c r="K448" s="297">
        <f t="shared" si="51"/>
        <v>1.9234723404255321E-4</v>
      </c>
      <c r="M448" s="275"/>
      <c r="N448" s="300"/>
      <c r="O448" s="300"/>
    </row>
    <row r="449" spans="1:18" hidden="1" x14ac:dyDescent="0.2">
      <c r="A449" s="619"/>
      <c r="B449" s="295" t="s">
        <v>169</v>
      </c>
      <c r="C449" s="230">
        <v>1.2899999999999999E-4</v>
      </c>
      <c r="D449" s="258">
        <v>2.5999999999999998E-4</v>
      </c>
      <c r="E449" s="258">
        <v>3.4999999999999999E-6</v>
      </c>
      <c r="F449" s="292">
        <f t="shared" si="49"/>
        <v>2.1957446808510641E-5</v>
      </c>
      <c r="G449" s="292">
        <f t="shared" si="48"/>
        <v>5.9428571428571423E-6</v>
      </c>
      <c r="H449" s="292"/>
      <c r="I449" s="252">
        <f t="shared" si="43"/>
        <v>2.1957446808510641E-5</v>
      </c>
      <c r="J449" s="258">
        <f t="shared" si="50"/>
        <v>9.6173617021276604E-5</v>
      </c>
      <c r="K449" s="301">
        <f t="shared" si="51"/>
        <v>9.6173617021276604E-5</v>
      </c>
      <c r="L449" s="275"/>
      <c r="M449" s="302"/>
      <c r="N449" s="276"/>
      <c r="O449" s="276"/>
      <c r="P449" s="275"/>
      <c r="Q449" s="275"/>
      <c r="R449" s="275"/>
    </row>
    <row r="450" spans="1:18" hidden="1" x14ac:dyDescent="0.2">
      <c r="A450" s="619"/>
      <c r="B450" s="295" t="s">
        <v>170</v>
      </c>
      <c r="C450" s="226">
        <v>1.2899999999999999E-4</v>
      </c>
      <c r="D450" s="226">
        <v>2.0999999999999999E-3</v>
      </c>
      <c r="E450" s="226">
        <v>3.3000000000000003E-5</v>
      </c>
      <c r="F450" s="291">
        <f t="shared" si="49"/>
        <v>2.1957446808510641E-5</v>
      </c>
      <c r="G450" s="291">
        <f t="shared" si="48"/>
        <v>4.7999999999999994E-5</v>
      </c>
      <c r="H450" s="291"/>
      <c r="I450" s="249">
        <f t="shared" si="43"/>
        <v>4.7999999999999994E-5</v>
      </c>
      <c r="J450" s="296">
        <f t="shared" si="50"/>
        <v>2.1023999999999999E-4</v>
      </c>
      <c r="K450" s="297">
        <f t="shared" si="51"/>
        <v>2.1023999999999999E-4</v>
      </c>
      <c r="M450" s="300"/>
      <c r="N450" s="300"/>
      <c r="O450" s="300"/>
    </row>
    <row r="451" spans="1:18" hidden="1" x14ac:dyDescent="0.2">
      <c r="A451" s="619"/>
      <c r="B451" s="295" t="s">
        <v>171</v>
      </c>
      <c r="C451" s="226">
        <v>6.4499999999999996E-4</v>
      </c>
      <c r="D451" s="226">
        <v>2.4000000000000001E-5</v>
      </c>
      <c r="E451" s="226">
        <v>2.7999999999999999E-6</v>
      </c>
      <c r="F451" s="291">
        <f t="shared" si="49"/>
        <v>1.097872340425532E-4</v>
      </c>
      <c r="G451" s="291">
        <f t="shared" si="48"/>
        <v>5.4857142857142858E-7</v>
      </c>
      <c r="H451" s="291"/>
      <c r="I451" s="249">
        <f t="shared" si="43"/>
        <v>1.097872340425532E-4</v>
      </c>
      <c r="J451" s="296">
        <f>I451*8760/2000</f>
        <v>4.8086808510638301E-4</v>
      </c>
      <c r="K451" s="297">
        <f>I451*8760/2000</f>
        <v>4.8086808510638301E-4</v>
      </c>
      <c r="M451" s="300"/>
      <c r="N451" s="300"/>
      <c r="O451" s="300"/>
      <c r="P451" s="274" t="s">
        <v>223</v>
      </c>
      <c r="Q451" s="274"/>
      <c r="R451" s="274"/>
    </row>
    <row r="452" spans="1:18" hidden="1" x14ac:dyDescent="0.2">
      <c r="A452" s="619"/>
      <c r="B452" s="303" t="s">
        <v>172</v>
      </c>
      <c r="C452" s="226"/>
      <c r="D452" s="226"/>
      <c r="E452" s="226"/>
      <c r="F452" s="291"/>
      <c r="G452" s="291"/>
      <c r="H452" s="291"/>
      <c r="I452" s="254">
        <f>SUM(I402:I451)</f>
        <v>0.31316889237689965</v>
      </c>
      <c r="J452" s="254">
        <f>SUM(J402:J451)</f>
        <v>1.3716797486108212</v>
      </c>
      <c r="K452" s="304">
        <f>SUM(K402:K451)</f>
        <v>1.3716797486108212</v>
      </c>
      <c r="M452" s="300">
        <f t="shared" ref="M452:M465" si="52">SUM(K452+I110)</f>
        <v>1.4122807812578799</v>
      </c>
      <c r="N452" s="300"/>
      <c r="O452" s="300"/>
      <c r="P452" s="274" t="s">
        <v>224</v>
      </c>
      <c r="Q452" s="274" t="s">
        <v>225</v>
      </c>
      <c r="R452" s="274" t="s">
        <v>226</v>
      </c>
    </row>
    <row r="453" spans="1:18" hidden="1" x14ac:dyDescent="0.2">
      <c r="A453" s="619"/>
      <c r="B453" s="303" t="s">
        <v>173</v>
      </c>
      <c r="C453" s="226">
        <v>1.5200000000000001E-3</v>
      </c>
      <c r="D453" s="226">
        <v>5.0000000000000001E-4</v>
      </c>
      <c r="E453" s="226">
        <v>4.8000000000000001E-5</v>
      </c>
      <c r="F453" s="291">
        <f t="shared" si="49"/>
        <v>2.587234042553192E-4</v>
      </c>
      <c r="G453" s="291">
        <f t="shared" si="48"/>
        <v>1.1428571428571429E-5</v>
      </c>
      <c r="H453" s="291"/>
      <c r="I453" s="249">
        <f t="shared" si="43"/>
        <v>2.587234042553192E-4</v>
      </c>
      <c r="J453" s="254">
        <f>I453*8760/2000</f>
        <v>1.1332085106382981E-3</v>
      </c>
      <c r="K453" s="305">
        <f>I453*8760/2000</f>
        <v>1.1332085106382981E-3</v>
      </c>
      <c r="M453" s="300">
        <f t="shared" si="52"/>
        <v>1.1439438047559452E-3</v>
      </c>
      <c r="N453" s="300"/>
      <c r="O453" s="300"/>
      <c r="P453" s="306">
        <f>G453*4.38</f>
        <v>5.0057142857142855E-5</v>
      </c>
      <c r="Q453" s="306">
        <f>P453*2</f>
        <v>1.0011428571428571E-4</v>
      </c>
      <c r="R453" s="306">
        <f>Q453/4.38</f>
        <v>2.2857142857142858E-5</v>
      </c>
    </row>
    <row r="454" spans="1:18" hidden="1" x14ac:dyDescent="0.2">
      <c r="A454" s="619"/>
      <c r="B454" s="303" t="s">
        <v>174</v>
      </c>
      <c r="C454" s="226">
        <v>2</v>
      </c>
      <c r="D454" s="226">
        <v>7.6</v>
      </c>
      <c r="E454" s="226">
        <v>0.4</v>
      </c>
      <c r="F454" s="291">
        <f t="shared" si="49"/>
        <v>0.34042553191489366</v>
      </c>
      <c r="G454" s="291">
        <f t="shared" si="48"/>
        <v>0.17371428571428571</v>
      </c>
      <c r="H454" s="291"/>
      <c r="I454" s="249">
        <f t="shared" si="43"/>
        <v>0.34042553191489366</v>
      </c>
      <c r="J454" s="254">
        <f>I454*8760/2000</f>
        <v>1.4910638297872343</v>
      </c>
      <c r="K454" s="305">
        <f>I454*8760/2000</f>
        <v>1.4910638297872343</v>
      </c>
      <c r="M454" s="300">
        <f t="shared" si="52"/>
        <v>1.8039097995740276</v>
      </c>
      <c r="N454" s="300"/>
      <c r="O454" s="300"/>
      <c r="P454" s="307">
        <f t="shared" ref="P454:P465" si="53">G454*4.38</f>
        <v>0.76086857142857134</v>
      </c>
      <c r="Q454" s="307">
        <f t="shared" ref="Q454:Q465" si="54">P454*2</f>
        <v>1.5217371428571427</v>
      </c>
      <c r="R454" s="307">
        <f t="shared" ref="R454:R465" si="55">Q454/4.38</f>
        <v>0.34742857142857142</v>
      </c>
    </row>
    <row r="455" spans="1:18" hidden="1" x14ac:dyDescent="0.2">
      <c r="A455" s="619"/>
      <c r="B455" s="303" t="s">
        <v>175</v>
      </c>
      <c r="C455" s="226">
        <v>2</v>
      </c>
      <c r="D455" s="226">
        <v>7.6</v>
      </c>
      <c r="E455" s="226">
        <v>0.5</v>
      </c>
      <c r="F455" s="291">
        <f t="shared" si="49"/>
        <v>0.34042553191489366</v>
      </c>
      <c r="G455" s="291">
        <f t="shared" si="48"/>
        <v>0.17371428571428571</v>
      </c>
      <c r="H455" s="291"/>
      <c r="I455" s="249">
        <f t="shared" si="43"/>
        <v>0.34042553191489366</v>
      </c>
      <c r="J455" s="254">
        <f>I455*8760/2000</f>
        <v>1.4910638297872343</v>
      </c>
      <c r="K455" s="305">
        <f>I455*8760/2000</f>
        <v>1.4910638297872343</v>
      </c>
      <c r="M455" s="300">
        <f t="shared" si="52"/>
        <v>1.6542403003754695</v>
      </c>
      <c r="N455" s="300"/>
      <c r="O455" s="300"/>
      <c r="P455" s="307">
        <f t="shared" si="53"/>
        <v>0.76086857142857134</v>
      </c>
      <c r="Q455" s="307">
        <f t="shared" si="54"/>
        <v>1.5217371428571427</v>
      </c>
      <c r="R455" s="307">
        <f t="shared" si="55"/>
        <v>0.34742857142857142</v>
      </c>
    </row>
    <row r="456" spans="1:18" hidden="1" x14ac:dyDescent="0.2">
      <c r="A456" s="619"/>
      <c r="B456" s="303" t="s">
        <v>176</v>
      </c>
      <c r="C456" s="226">
        <v>2</v>
      </c>
      <c r="D456" s="226">
        <v>7.6</v>
      </c>
      <c r="E456" s="226">
        <v>0.5</v>
      </c>
      <c r="F456" s="291">
        <f t="shared" si="49"/>
        <v>0.34042553191489366</v>
      </c>
      <c r="G456" s="291">
        <f t="shared" si="48"/>
        <v>0.17371428571428571</v>
      </c>
      <c r="H456" s="291"/>
      <c r="I456" s="249">
        <f t="shared" si="43"/>
        <v>0.34042553191489366</v>
      </c>
      <c r="J456" s="254">
        <f t="shared" ref="J456:J463" si="56">I456*8760/2000</f>
        <v>1.4910638297872343</v>
      </c>
      <c r="K456" s="305">
        <f t="shared" ref="K456:K463" si="57">I456*8760/2000</f>
        <v>1.4910638297872343</v>
      </c>
      <c r="M456" s="300">
        <f t="shared" si="52"/>
        <v>1.5301695760105836</v>
      </c>
      <c r="N456" s="300"/>
      <c r="O456" s="300"/>
      <c r="P456" s="307">
        <f t="shared" si="53"/>
        <v>0.76086857142857134</v>
      </c>
      <c r="Q456" s="307">
        <f t="shared" si="54"/>
        <v>1.5217371428571427</v>
      </c>
      <c r="R456" s="307">
        <f t="shared" si="55"/>
        <v>0.34742857142857142</v>
      </c>
    </row>
    <row r="457" spans="1:18" hidden="1" x14ac:dyDescent="0.2">
      <c r="A457" s="619"/>
      <c r="B457" s="303" t="s">
        <v>177</v>
      </c>
      <c r="C457" s="226">
        <v>78.5</v>
      </c>
      <c r="D457" s="226">
        <v>0.6</v>
      </c>
      <c r="E457" s="226">
        <v>2</v>
      </c>
      <c r="F457" s="308">
        <f t="shared" si="49"/>
        <v>13.361702127659576</v>
      </c>
      <c r="G457" s="308">
        <f t="shared" si="48"/>
        <v>1.3714285714285714E-2</v>
      </c>
      <c r="H457" s="308"/>
      <c r="I457" s="309">
        <f t="shared" si="43"/>
        <v>13.361702127659576</v>
      </c>
      <c r="J457" s="310">
        <f t="shared" si="56"/>
        <v>58.524255319148942</v>
      </c>
      <c r="K457" s="305">
        <f t="shared" si="57"/>
        <v>58.524255319148942</v>
      </c>
      <c r="M457" s="300">
        <f t="shared" si="52"/>
        <v>69.63028724658011</v>
      </c>
      <c r="N457" s="300"/>
      <c r="O457" s="300"/>
      <c r="P457" s="307">
        <f t="shared" si="53"/>
        <v>6.0068571428571423E-2</v>
      </c>
      <c r="Q457" s="307">
        <f t="shared" si="54"/>
        <v>0.12013714285714285</v>
      </c>
      <c r="R457" s="307">
        <f t="shared" si="55"/>
        <v>2.7428571428571427E-2</v>
      </c>
    </row>
    <row r="458" spans="1:18" hidden="1" x14ac:dyDescent="0.2">
      <c r="A458" s="619"/>
      <c r="B458" s="303" t="s">
        <v>178</v>
      </c>
      <c r="C458" s="226">
        <v>20</v>
      </c>
      <c r="D458" s="226">
        <v>100</v>
      </c>
      <c r="E458" s="226">
        <v>0.22</v>
      </c>
      <c r="F458" s="291">
        <f t="shared" si="49"/>
        <v>3.4042553191489366</v>
      </c>
      <c r="G458" s="291">
        <f t="shared" si="48"/>
        <v>2.2857142857142856</v>
      </c>
      <c r="H458" s="291"/>
      <c r="I458" s="249">
        <f t="shared" si="43"/>
        <v>3.4042553191489366</v>
      </c>
      <c r="J458" s="254">
        <f t="shared" si="56"/>
        <v>14.910638297872342</v>
      </c>
      <c r="K458" s="305">
        <f t="shared" si="57"/>
        <v>14.910638297872342</v>
      </c>
      <c r="M458" s="300">
        <f t="shared" si="52"/>
        <v>18.039097995740278</v>
      </c>
      <c r="N458" s="300"/>
      <c r="O458" s="300"/>
      <c r="P458" s="307">
        <f t="shared" si="53"/>
        <v>10.011428571428571</v>
      </c>
      <c r="Q458" s="307">
        <f t="shared" si="54"/>
        <v>20.022857142857141</v>
      </c>
      <c r="R458" s="307">
        <f t="shared" si="55"/>
        <v>4.5714285714285712</v>
      </c>
    </row>
    <row r="459" spans="1:18" hidden="1" x14ac:dyDescent="0.2">
      <c r="A459" s="619"/>
      <c r="B459" s="303" t="s">
        <v>214</v>
      </c>
      <c r="C459" s="226">
        <v>0.34</v>
      </c>
      <c r="D459" s="226">
        <v>5.5</v>
      </c>
      <c r="E459" s="226">
        <v>1.7000000000000001E-2</v>
      </c>
      <c r="F459" s="291">
        <f t="shared" si="49"/>
        <v>5.787234042553193E-2</v>
      </c>
      <c r="G459" s="291">
        <f t="shared" si="48"/>
        <v>0.12571428571428572</v>
      </c>
      <c r="H459" s="291"/>
      <c r="I459" s="249">
        <f t="shared" si="43"/>
        <v>0.12571428571428572</v>
      </c>
      <c r="J459" s="254">
        <f t="shared" si="56"/>
        <v>0.55062857142857147</v>
      </c>
      <c r="K459" s="305">
        <f t="shared" si="57"/>
        <v>0.55062857142857147</v>
      </c>
      <c r="M459" s="300">
        <f t="shared" si="52"/>
        <v>0.66871680672268907</v>
      </c>
      <c r="N459" s="300"/>
      <c r="O459" s="300"/>
      <c r="P459" s="307">
        <f t="shared" si="53"/>
        <v>0.55062857142857147</v>
      </c>
      <c r="Q459" s="307">
        <f t="shared" si="54"/>
        <v>1.1012571428571429</v>
      </c>
      <c r="R459" s="307">
        <f t="shared" si="55"/>
        <v>0.25142857142857145</v>
      </c>
    </row>
    <row r="460" spans="1:18" ht="13.5" hidden="1" thickBot="1" x14ac:dyDescent="0.25">
      <c r="A460" s="619"/>
      <c r="B460" s="311" t="s">
        <v>215</v>
      </c>
      <c r="C460" s="312">
        <v>5</v>
      </c>
      <c r="D460" s="313">
        <v>84</v>
      </c>
      <c r="E460" s="313">
        <v>0.6</v>
      </c>
      <c r="F460" s="314">
        <f t="shared" si="49"/>
        <v>0.85106382978723416</v>
      </c>
      <c r="G460" s="314">
        <f t="shared" si="48"/>
        <v>1.92</v>
      </c>
      <c r="H460" s="314"/>
      <c r="I460" s="314">
        <f>MAX(F460:H460)</f>
        <v>1.92</v>
      </c>
      <c r="J460" s="315">
        <f t="shared" si="56"/>
        <v>8.4096000000000011</v>
      </c>
      <c r="K460" s="316">
        <f>I460*8760/2000</f>
        <v>8.4096000000000011</v>
      </c>
      <c r="M460" s="300">
        <f t="shared" si="52"/>
        <v>10.213129411764706</v>
      </c>
      <c r="N460" s="307"/>
      <c r="O460" s="307"/>
      <c r="P460" s="307">
        <f t="shared" si="53"/>
        <v>8.4095999999999993</v>
      </c>
      <c r="Q460" s="307">
        <f t="shared" si="54"/>
        <v>16.819199999999999</v>
      </c>
      <c r="R460" s="307">
        <f t="shared" si="55"/>
        <v>3.84</v>
      </c>
    </row>
    <row r="461" spans="1:18" hidden="1" x14ac:dyDescent="0.2">
      <c r="A461" s="619"/>
      <c r="B461" s="317" t="s">
        <v>181</v>
      </c>
      <c r="C461" s="318">
        <v>22300</v>
      </c>
      <c r="D461" s="318">
        <v>120000</v>
      </c>
      <c r="E461" s="318">
        <v>195</v>
      </c>
      <c r="F461" s="319">
        <f t="shared" si="49"/>
        <v>3795.7446808510645</v>
      </c>
      <c r="G461" s="319">
        <f t="shared" si="48"/>
        <v>2742.8571428571427</v>
      </c>
      <c r="H461" s="319"/>
      <c r="I461" s="319">
        <f>MAX(F461:H461)</f>
        <v>3795.7446808510645</v>
      </c>
      <c r="J461" s="320">
        <f>I461*8760/2000</f>
        <v>16625.361702127662</v>
      </c>
      <c r="K461" s="321">
        <f>I461*8760/2000</f>
        <v>16625.361702127662</v>
      </c>
      <c r="L461" s="256"/>
      <c r="M461" s="300">
        <f t="shared" si="52"/>
        <v>20113.594265250409</v>
      </c>
      <c r="N461" s="256"/>
      <c r="P461" s="307">
        <f t="shared" si="53"/>
        <v>12013.714285714284</v>
      </c>
      <c r="Q461" s="307">
        <f t="shared" si="54"/>
        <v>24027.428571428569</v>
      </c>
      <c r="R461" s="307">
        <f t="shared" si="55"/>
        <v>5485.7142857142853</v>
      </c>
    </row>
    <row r="462" spans="1:18" hidden="1" x14ac:dyDescent="0.2">
      <c r="A462" s="619"/>
      <c r="B462" s="322" t="s">
        <v>182</v>
      </c>
      <c r="C462" s="226">
        <v>5.1999999999999998E-2</v>
      </c>
      <c r="D462" s="226">
        <v>2.2999999999999998</v>
      </c>
      <c r="E462" s="226">
        <v>2.1000000000000001E-2</v>
      </c>
      <c r="F462" s="249">
        <f t="shared" si="49"/>
        <v>8.8510638297872347E-3</v>
      </c>
      <c r="G462" s="249">
        <f t="shared" si="48"/>
        <v>5.2571428571428568E-2</v>
      </c>
      <c r="H462" s="249"/>
      <c r="I462" s="249">
        <f t="shared" si="43"/>
        <v>5.2571428571428568E-2</v>
      </c>
      <c r="J462" s="323">
        <f t="shared" si="56"/>
        <v>0.2302628571428571</v>
      </c>
      <c r="K462" s="324">
        <f t="shared" si="57"/>
        <v>0.2302628571428571</v>
      </c>
      <c r="L462" s="256"/>
      <c r="M462" s="300">
        <f t="shared" si="52"/>
        <v>0.27964521008403354</v>
      </c>
      <c r="N462" s="256"/>
      <c r="P462" s="307">
        <f t="shared" si="53"/>
        <v>0.23026285714285713</v>
      </c>
      <c r="Q462" s="307">
        <f t="shared" si="54"/>
        <v>0.46052571428571426</v>
      </c>
      <c r="R462" s="307">
        <f t="shared" si="55"/>
        <v>0.10514285714285714</v>
      </c>
    </row>
    <row r="463" spans="1:18" hidden="1" x14ac:dyDescent="0.2">
      <c r="A463" s="619"/>
      <c r="B463" s="322" t="s">
        <v>183</v>
      </c>
      <c r="C463" s="226">
        <v>0.26</v>
      </c>
      <c r="D463" s="226">
        <v>2.2000000000000002</v>
      </c>
      <c r="E463" s="226">
        <v>1.2999999999999999E-2</v>
      </c>
      <c r="F463" s="249">
        <f t="shared" si="49"/>
        <v>4.4255319148936177E-2</v>
      </c>
      <c r="G463" s="249">
        <f t="shared" si="48"/>
        <v>5.0285714285714288E-2</v>
      </c>
      <c r="H463" s="249"/>
      <c r="I463" s="249">
        <f t="shared" si="43"/>
        <v>5.0285714285714288E-2</v>
      </c>
      <c r="J463" s="323">
        <f t="shared" si="56"/>
        <v>0.2202514285714286</v>
      </c>
      <c r="K463" s="324">
        <f t="shared" si="57"/>
        <v>0.2202514285714286</v>
      </c>
      <c r="L463" s="256"/>
      <c r="M463" s="300">
        <f t="shared" si="52"/>
        <v>0.26748672268907564</v>
      </c>
      <c r="N463" s="256"/>
      <c r="P463" s="307">
        <f t="shared" si="53"/>
        <v>0.22025142857142857</v>
      </c>
      <c r="Q463" s="307">
        <f t="shared" si="54"/>
        <v>0.44050285714285714</v>
      </c>
      <c r="R463" s="307">
        <f t="shared" si="55"/>
        <v>0.10057142857142858</v>
      </c>
    </row>
    <row r="464" spans="1:18" hidden="1" x14ac:dyDescent="0.2">
      <c r="A464" s="619"/>
      <c r="B464" s="322" t="s">
        <v>184</v>
      </c>
      <c r="C464" s="258"/>
      <c r="D464" s="258"/>
      <c r="E464" s="258"/>
      <c r="F464" s="258">
        <f t="shared" ref="F464:K464" si="58">SUM(F461:F463)</f>
        <v>3795.797787234043</v>
      </c>
      <c r="G464" s="258">
        <f t="shared" si="58"/>
        <v>2742.9599999999996</v>
      </c>
      <c r="H464" s="258"/>
      <c r="I464" s="258">
        <f t="shared" si="58"/>
        <v>3795.8475379939214</v>
      </c>
      <c r="J464" s="323">
        <f t="shared" si="58"/>
        <v>16625.812216413375</v>
      </c>
      <c r="K464" s="324">
        <f t="shared" si="58"/>
        <v>16625.812216413375</v>
      </c>
      <c r="L464" s="256"/>
      <c r="M464" s="300">
        <f t="shared" si="52"/>
        <v>20114.141397183179</v>
      </c>
      <c r="N464" s="256"/>
      <c r="P464" s="307">
        <f t="shared" si="53"/>
        <v>12014.164799999999</v>
      </c>
      <c r="Q464" s="307">
        <f t="shared" si="54"/>
        <v>24028.329599999997</v>
      </c>
      <c r="R464" s="307">
        <f t="shared" si="55"/>
        <v>5485.9199999999992</v>
      </c>
    </row>
    <row r="465" spans="1:18" ht="13.5" hidden="1" thickBot="1" x14ac:dyDescent="0.25">
      <c r="A465" s="620"/>
      <c r="B465" s="325" t="s">
        <v>185</v>
      </c>
      <c r="C465" s="326"/>
      <c r="D465" s="327"/>
      <c r="E465" s="327"/>
      <c r="F465" s="327">
        <f t="shared" ref="F465:K465" si="59">F461+(F462*21)+(F463*310)</f>
        <v>3809.6497021276605</v>
      </c>
      <c r="G465" s="327">
        <f t="shared" si="59"/>
        <v>2759.5497142857139</v>
      </c>
      <c r="H465" s="327"/>
      <c r="I465" s="327">
        <f t="shared" si="59"/>
        <v>3812.4372522796357</v>
      </c>
      <c r="J465" s="328">
        <f t="shared" si="59"/>
        <v>16698.475164984804</v>
      </c>
      <c r="K465" s="329">
        <f t="shared" si="59"/>
        <v>16698.475164984804</v>
      </c>
      <c r="L465" s="256"/>
      <c r="M465" s="300">
        <f t="shared" si="52"/>
        <v>20202.387698695784</v>
      </c>
      <c r="N465" s="256"/>
      <c r="P465" s="307">
        <f t="shared" si="53"/>
        <v>12086.827748571426</v>
      </c>
      <c r="Q465" s="307">
        <f t="shared" si="54"/>
        <v>24173.655497142852</v>
      </c>
      <c r="R465" s="307">
        <f t="shared" si="55"/>
        <v>5519.0994285714278</v>
      </c>
    </row>
    <row r="466" spans="1:18" hidden="1" x14ac:dyDescent="0.2">
      <c r="D466" s="267" t="s">
        <v>187</v>
      </c>
    </row>
    <row r="467" spans="1:18" hidden="1" x14ac:dyDescent="0.2"/>
    <row r="468" spans="1:18" hidden="1" x14ac:dyDescent="0.2"/>
    <row r="469" spans="1:18" hidden="1" x14ac:dyDescent="0.2">
      <c r="A469" s="274" t="s">
        <v>228</v>
      </c>
      <c r="B469" s="275"/>
      <c r="C469" s="275"/>
      <c r="D469" s="275"/>
      <c r="E469" s="275"/>
      <c r="F469" s="275"/>
      <c r="G469" s="275"/>
      <c r="H469" s="275"/>
      <c r="I469" s="275"/>
      <c r="J469" s="275"/>
      <c r="K469" s="275"/>
      <c r="L469" s="275"/>
      <c r="M469" s="275"/>
      <c r="N469" s="275"/>
      <c r="O469" s="275"/>
      <c r="P469" s="275"/>
      <c r="Q469" s="275"/>
      <c r="R469" s="275"/>
    </row>
    <row r="470" spans="1:18" hidden="1" x14ac:dyDescent="0.2">
      <c r="A470" s="275" t="s">
        <v>117</v>
      </c>
      <c r="B470" s="275">
        <v>17</v>
      </c>
      <c r="C470" s="275" t="s">
        <v>63</v>
      </c>
      <c r="D470" s="275"/>
      <c r="E470" s="275"/>
      <c r="F470" s="275"/>
      <c r="G470" s="275"/>
      <c r="H470" s="275"/>
      <c r="I470" s="275"/>
      <c r="J470" s="275"/>
      <c r="K470" s="275"/>
      <c r="L470" s="275"/>
      <c r="M470" s="275"/>
      <c r="N470" s="275"/>
      <c r="O470" s="275"/>
      <c r="P470" s="275"/>
      <c r="Q470" s="275"/>
      <c r="R470" s="275"/>
    </row>
    <row r="471" spans="1:18" hidden="1" x14ac:dyDescent="0.2">
      <c r="A471" s="275" t="s">
        <v>122</v>
      </c>
      <c r="B471" s="275">
        <f>B470/I471/1000</f>
        <v>0.12056737588652483</v>
      </c>
      <c r="C471" s="275" t="s">
        <v>119</v>
      </c>
      <c r="D471" s="275"/>
      <c r="E471" s="275"/>
      <c r="F471" s="275" t="s">
        <v>123</v>
      </c>
      <c r="G471" s="275"/>
      <c r="H471" s="275"/>
      <c r="I471" s="275">
        <v>0.14099999999999999</v>
      </c>
      <c r="J471" s="275" t="s">
        <v>121</v>
      </c>
      <c r="K471" s="275"/>
      <c r="L471" s="275"/>
      <c r="M471" s="275"/>
      <c r="N471" s="275"/>
      <c r="O471" s="275"/>
      <c r="P471" s="275"/>
      <c r="Q471" s="275"/>
      <c r="R471" s="275"/>
    </row>
    <row r="472" spans="1:18" hidden="1" x14ac:dyDescent="0.2">
      <c r="A472" s="275" t="s">
        <v>188</v>
      </c>
      <c r="B472" s="275">
        <f>B470/I472/1000</f>
        <v>0.11474159517815319</v>
      </c>
      <c r="C472" s="275" t="s">
        <v>119</v>
      </c>
      <c r="D472" s="268"/>
      <c r="E472" s="277"/>
      <c r="F472" s="278" t="s">
        <v>189</v>
      </c>
      <c r="G472" s="279"/>
      <c r="H472" s="279"/>
      <c r="I472" s="275">
        <v>0.14815900000000001</v>
      </c>
      <c r="J472" s="275" t="s">
        <v>127</v>
      </c>
      <c r="K472" s="275"/>
      <c r="L472" s="275"/>
      <c r="M472" s="275"/>
      <c r="N472" s="275"/>
      <c r="O472" s="275"/>
      <c r="P472" s="275"/>
      <c r="Q472" s="275"/>
      <c r="R472" s="275"/>
    </row>
    <row r="473" spans="1:18" hidden="1" x14ac:dyDescent="0.2">
      <c r="A473" s="275" t="s">
        <v>217</v>
      </c>
      <c r="B473" s="276">
        <f>B470/I473*1000000</f>
        <v>3777.7777777777778</v>
      </c>
      <c r="C473" s="275" t="s">
        <v>218</v>
      </c>
      <c r="D473" s="268"/>
      <c r="E473" s="277"/>
      <c r="F473" s="278" t="s">
        <v>219</v>
      </c>
      <c r="G473" s="279"/>
      <c r="H473" s="279"/>
      <c r="I473" s="275">
        <v>4500</v>
      </c>
      <c r="J473" s="275" t="s">
        <v>55</v>
      </c>
      <c r="K473" s="280"/>
      <c r="L473" s="280"/>
      <c r="M473" s="281"/>
      <c r="N473" s="280"/>
      <c r="O473" s="275"/>
      <c r="P473" s="275"/>
      <c r="Q473" s="275"/>
      <c r="R473" s="275"/>
    </row>
    <row r="474" spans="1:18" ht="13.5" hidden="1" thickBot="1" x14ac:dyDescent="0.25">
      <c r="A474" s="275" t="s">
        <v>190</v>
      </c>
      <c r="B474" s="275">
        <f>B470/I474/1000</f>
        <v>0.11474159517815319</v>
      </c>
      <c r="C474" s="275" t="s">
        <v>119</v>
      </c>
      <c r="D474" s="275"/>
      <c r="E474" s="275"/>
      <c r="F474" s="275" t="s">
        <v>191</v>
      </c>
      <c r="G474" s="275"/>
      <c r="H474" s="275"/>
      <c r="I474" s="275">
        <v>0.14815900000000001</v>
      </c>
      <c r="J474" s="275" t="s">
        <v>121</v>
      </c>
      <c r="K474" s="275"/>
      <c r="L474" s="275"/>
      <c r="M474" s="275"/>
      <c r="N474" s="275"/>
      <c r="O474" s="275"/>
      <c r="P474" s="275"/>
      <c r="Q474" s="275"/>
      <c r="R474" s="275"/>
    </row>
    <row r="475" spans="1:18" ht="51.75" hidden="1" thickBot="1" x14ac:dyDescent="0.25">
      <c r="A475" s="282" t="s">
        <v>128</v>
      </c>
      <c r="B475" s="283" t="s">
        <v>19</v>
      </c>
      <c r="C475" s="284" t="s">
        <v>130</v>
      </c>
      <c r="D475" s="330" t="s">
        <v>220</v>
      </c>
      <c r="E475" s="330" t="s">
        <v>192</v>
      </c>
      <c r="F475" s="284" t="s">
        <v>193</v>
      </c>
      <c r="G475" s="288" t="s">
        <v>133</v>
      </c>
      <c r="H475" s="288" t="s">
        <v>221</v>
      </c>
      <c r="I475" s="288" t="s">
        <v>195</v>
      </c>
      <c r="J475" s="288" t="s">
        <v>229</v>
      </c>
      <c r="K475" s="286" t="s">
        <v>196</v>
      </c>
      <c r="L475" s="286" t="s">
        <v>136</v>
      </c>
      <c r="M475" s="331" t="s">
        <v>137</v>
      </c>
    </row>
    <row r="476" spans="1:18" hidden="1" x14ac:dyDescent="0.2">
      <c r="A476" s="618" t="s">
        <v>230</v>
      </c>
      <c r="B476" s="290" t="s">
        <v>139</v>
      </c>
      <c r="C476" s="291">
        <v>2.1100000000000001E-5</v>
      </c>
      <c r="D476" s="292">
        <v>9.0999999999999997E-7</v>
      </c>
      <c r="E476" s="292">
        <v>9.0999999999999997E-7</v>
      </c>
      <c r="F476" s="291"/>
      <c r="G476" s="291">
        <f>C476*$B$471</f>
        <v>2.5439716312056742E-6</v>
      </c>
      <c r="H476" s="291">
        <f>D476*$B$470</f>
        <v>1.5469999999999999E-5</v>
      </c>
      <c r="I476" s="291">
        <f>E476*$B$470</f>
        <v>1.5469999999999999E-5</v>
      </c>
      <c r="J476" s="291"/>
      <c r="K476" s="291">
        <f t="shared" ref="K476:K537" si="60">MAX(G476:H476)</f>
        <v>1.5469999999999999E-5</v>
      </c>
      <c r="L476" s="293">
        <f t="shared" ref="L476:L515" si="61">K476*8760/2000</f>
        <v>6.7758599999999999E-5</v>
      </c>
      <c r="M476" s="294">
        <f t="shared" ref="M476:M515" si="62">K476*8760/2000</f>
        <v>6.7758599999999999E-5</v>
      </c>
    </row>
    <row r="477" spans="1:18" hidden="1" x14ac:dyDescent="0.2">
      <c r="A477" s="619"/>
      <c r="B477" s="295" t="s">
        <v>140</v>
      </c>
      <c r="C477" s="249">
        <v>2.53E-7</v>
      </c>
      <c r="D477" s="249">
        <v>5.0000000000000004E-6</v>
      </c>
      <c r="E477" s="249">
        <v>5.0000000000000004E-6</v>
      </c>
      <c r="F477" s="249"/>
      <c r="G477" s="291">
        <f t="shared" ref="G477:G537" si="63">C477*$B$471</f>
        <v>3.0503546099290784E-8</v>
      </c>
      <c r="H477" s="291">
        <f t="shared" ref="H477:I534" si="64">D477*$B$470</f>
        <v>8.5000000000000006E-5</v>
      </c>
      <c r="I477" s="291">
        <f t="shared" si="64"/>
        <v>8.5000000000000006E-5</v>
      </c>
      <c r="J477" s="291"/>
      <c r="K477" s="249">
        <f t="shared" si="60"/>
        <v>8.5000000000000006E-5</v>
      </c>
      <c r="L477" s="296">
        <f t="shared" si="61"/>
        <v>3.723E-4</v>
      </c>
      <c r="M477" s="297">
        <f t="shared" si="62"/>
        <v>3.723E-4</v>
      </c>
    </row>
    <row r="478" spans="1:18" hidden="1" x14ac:dyDescent="0.2">
      <c r="A478" s="619"/>
      <c r="B478" s="295" t="s">
        <v>197</v>
      </c>
      <c r="C478" s="249"/>
      <c r="D478" s="249">
        <v>8.3000000000000001E-4</v>
      </c>
      <c r="E478" s="249">
        <v>8.3000000000000001E-4</v>
      </c>
      <c r="F478" s="249"/>
      <c r="G478" s="291"/>
      <c r="H478" s="291">
        <f t="shared" si="64"/>
        <v>1.4110000000000001E-2</v>
      </c>
      <c r="I478" s="291">
        <f t="shared" si="64"/>
        <v>1.4110000000000001E-2</v>
      </c>
      <c r="J478" s="291"/>
      <c r="K478" s="249">
        <f t="shared" si="60"/>
        <v>1.4110000000000001E-2</v>
      </c>
      <c r="L478" s="296">
        <f t="shared" si="61"/>
        <v>6.1801800000000004E-2</v>
      </c>
      <c r="M478" s="297">
        <f t="shared" si="62"/>
        <v>6.1801800000000004E-2</v>
      </c>
    </row>
    <row r="479" spans="1:18" hidden="1" x14ac:dyDescent="0.2">
      <c r="A479" s="619"/>
      <c r="B479" s="295" t="s">
        <v>198</v>
      </c>
      <c r="C479" s="249"/>
      <c r="D479" s="249">
        <v>3.2000000000000001E-9</v>
      </c>
      <c r="E479" s="249">
        <v>3.2000000000000001E-9</v>
      </c>
      <c r="F479" s="249"/>
      <c r="G479" s="291"/>
      <c r="H479" s="291">
        <f t="shared" si="64"/>
        <v>5.4400000000000004E-8</v>
      </c>
      <c r="I479" s="291">
        <f t="shared" si="64"/>
        <v>5.4400000000000004E-8</v>
      </c>
      <c r="J479" s="291"/>
      <c r="K479" s="249">
        <f t="shared" si="60"/>
        <v>5.4400000000000004E-8</v>
      </c>
      <c r="L479" s="296">
        <f t="shared" si="61"/>
        <v>2.38272E-7</v>
      </c>
      <c r="M479" s="297">
        <f t="shared" si="62"/>
        <v>2.38272E-7</v>
      </c>
    </row>
    <row r="480" spans="1:18" hidden="1" x14ac:dyDescent="0.2">
      <c r="A480" s="619"/>
      <c r="B480" s="295" t="s">
        <v>199</v>
      </c>
      <c r="C480" s="249"/>
      <c r="D480" s="249">
        <v>4.0000000000000001E-3</v>
      </c>
      <c r="E480" s="249">
        <v>4.0000000000000001E-3</v>
      </c>
      <c r="F480" s="249"/>
      <c r="G480" s="291"/>
      <c r="H480" s="291">
        <f t="shared" si="64"/>
        <v>6.8000000000000005E-2</v>
      </c>
      <c r="I480" s="291">
        <f t="shared" si="64"/>
        <v>6.8000000000000005E-2</v>
      </c>
      <c r="J480" s="291"/>
      <c r="K480" s="249">
        <f t="shared" si="60"/>
        <v>6.8000000000000005E-2</v>
      </c>
      <c r="L480" s="296">
        <f t="shared" si="61"/>
        <v>0.29784000000000005</v>
      </c>
      <c r="M480" s="297">
        <f t="shared" si="62"/>
        <v>0.29784000000000005</v>
      </c>
    </row>
    <row r="481" spans="1:13" hidden="1" x14ac:dyDescent="0.2">
      <c r="A481" s="619"/>
      <c r="B481" s="295" t="s">
        <v>141</v>
      </c>
      <c r="C481" s="249">
        <v>1.22E-6</v>
      </c>
      <c r="D481" s="249"/>
      <c r="E481" s="249"/>
      <c r="F481" s="249"/>
      <c r="G481" s="291">
        <f t="shared" si="63"/>
        <v>1.4709219858156028E-7</v>
      </c>
      <c r="H481" s="291"/>
      <c r="I481" s="291"/>
      <c r="J481" s="291"/>
      <c r="K481" s="249">
        <f t="shared" si="60"/>
        <v>1.4709219858156028E-7</v>
      </c>
      <c r="L481" s="296">
        <f t="shared" si="61"/>
        <v>6.44263829787234E-7</v>
      </c>
      <c r="M481" s="297">
        <f t="shared" si="62"/>
        <v>6.44263829787234E-7</v>
      </c>
    </row>
    <row r="482" spans="1:13" hidden="1" x14ac:dyDescent="0.2">
      <c r="A482" s="619"/>
      <c r="B482" s="295" t="s">
        <v>142</v>
      </c>
      <c r="C482" s="249">
        <v>4.0099999999999997E-6</v>
      </c>
      <c r="D482" s="249">
        <v>6.5E-8</v>
      </c>
      <c r="E482" s="249">
        <v>6.5E-8</v>
      </c>
      <c r="F482" s="249"/>
      <c r="G482" s="291">
        <f t="shared" si="63"/>
        <v>4.8347517730496454E-7</v>
      </c>
      <c r="H482" s="291">
        <f t="shared" si="64"/>
        <v>1.105E-6</v>
      </c>
      <c r="I482" s="291">
        <f t="shared" si="64"/>
        <v>1.105E-6</v>
      </c>
      <c r="J482" s="291"/>
      <c r="K482" s="249">
        <f t="shared" si="60"/>
        <v>1.105E-6</v>
      </c>
      <c r="L482" s="296">
        <f t="shared" si="61"/>
        <v>4.8399E-6</v>
      </c>
      <c r="M482" s="297">
        <f t="shared" si="62"/>
        <v>4.8399E-6</v>
      </c>
    </row>
    <row r="483" spans="1:13" hidden="1" x14ac:dyDescent="0.2">
      <c r="A483" s="619"/>
      <c r="B483" s="295" t="s">
        <v>143</v>
      </c>
      <c r="C483" s="249">
        <v>2.0999999999999999E-3</v>
      </c>
      <c r="D483" s="249">
        <v>4.1999999999999997E-3</v>
      </c>
      <c r="E483" s="249">
        <v>4.1999999999999997E-3</v>
      </c>
      <c r="F483" s="249"/>
      <c r="G483" s="291">
        <f t="shared" si="63"/>
        <v>2.5319148936170214E-4</v>
      </c>
      <c r="H483" s="291">
        <f t="shared" si="64"/>
        <v>7.1399999999999991E-2</v>
      </c>
      <c r="I483" s="291">
        <f t="shared" si="64"/>
        <v>7.1399999999999991E-2</v>
      </c>
      <c r="J483" s="291"/>
      <c r="K483" s="249">
        <f t="shared" si="60"/>
        <v>7.1399999999999991E-2</v>
      </c>
      <c r="L483" s="296">
        <f t="shared" si="61"/>
        <v>0.31273199999999995</v>
      </c>
      <c r="M483" s="297">
        <f t="shared" si="62"/>
        <v>0.31273199999999995</v>
      </c>
    </row>
    <row r="484" spans="1:13" hidden="1" x14ac:dyDescent="0.2">
      <c r="A484" s="619"/>
      <c r="B484" s="216" t="s">
        <v>231</v>
      </c>
      <c r="C484" s="249"/>
      <c r="D484" s="249">
        <v>2.6000000000000001E-6</v>
      </c>
      <c r="E484" s="249">
        <v>2.6000000000000001E-6</v>
      </c>
      <c r="F484" s="249"/>
      <c r="G484" s="291"/>
      <c r="H484" s="291">
        <f t="shared" si="64"/>
        <v>4.4200000000000004E-5</v>
      </c>
      <c r="I484" s="291">
        <f t="shared" si="64"/>
        <v>4.4200000000000004E-5</v>
      </c>
      <c r="J484" s="291"/>
      <c r="K484" s="249">
        <f t="shared" si="60"/>
        <v>4.4200000000000004E-5</v>
      </c>
      <c r="L484" s="296">
        <f t="shared" si="61"/>
        <v>1.9359600000000001E-4</v>
      </c>
      <c r="M484" s="297">
        <f t="shared" si="62"/>
        <v>1.9359600000000001E-4</v>
      </c>
    </row>
    <row r="485" spans="1:13" hidden="1" x14ac:dyDescent="0.2">
      <c r="A485" s="619"/>
      <c r="B485" s="295" t="s">
        <v>145</v>
      </c>
      <c r="C485" s="249">
        <v>1.48E-6</v>
      </c>
      <c r="D485" s="249">
        <v>9.9999999999999995E-8</v>
      </c>
      <c r="E485" s="249">
        <v>9.9999999999999995E-8</v>
      </c>
      <c r="F485" s="249"/>
      <c r="G485" s="291">
        <f t="shared" si="63"/>
        <v>1.7843971631205676E-7</v>
      </c>
      <c r="H485" s="291">
        <f t="shared" si="64"/>
        <v>1.6999999999999998E-6</v>
      </c>
      <c r="I485" s="291">
        <f t="shared" si="64"/>
        <v>1.6999999999999998E-6</v>
      </c>
      <c r="J485" s="291"/>
      <c r="K485" s="249">
        <f t="shared" si="60"/>
        <v>1.6999999999999998E-6</v>
      </c>
      <c r="L485" s="296">
        <f t="shared" si="61"/>
        <v>7.4459999999999995E-6</v>
      </c>
      <c r="M485" s="297">
        <f t="shared" si="62"/>
        <v>7.4459999999999995E-6</v>
      </c>
    </row>
    <row r="486" spans="1:13" hidden="1" x14ac:dyDescent="0.2">
      <c r="A486" s="619"/>
      <c r="B486" s="295" t="s">
        <v>146</v>
      </c>
      <c r="C486" s="249">
        <v>2.26E-6</v>
      </c>
      <c r="D486" s="249">
        <v>9.2999999999999999E-8</v>
      </c>
      <c r="E486" s="249">
        <v>9.2999999999999999E-8</v>
      </c>
      <c r="F486" s="249"/>
      <c r="G486" s="291">
        <f t="shared" si="63"/>
        <v>2.7248226950354609E-7</v>
      </c>
      <c r="H486" s="291">
        <f t="shared" si="64"/>
        <v>1.581E-6</v>
      </c>
      <c r="I486" s="291">
        <f t="shared" si="64"/>
        <v>1.581E-6</v>
      </c>
      <c r="J486" s="291"/>
      <c r="K486" s="249">
        <f t="shared" si="60"/>
        <v>1.581E-6</v>
      </c>
      <c r="L486" s="296">
        <f t="shared" si="61"/>
        <v>6.9247800000000005E-6</v>
      </c>
      <c r="M486" s="297">
        <f t="shared" si="62"/>
        <v>6.9247800000000005E-6</v>
      </c>
    </row>
    <row r="487" spans="1:13" hidden="1" x14ac:dyDescent="0.2">
      <c r="A487" s="619"/>
      <c r="B487" s="295" t="s">
        <v>147</v>
      </c>
      <c r="C487" s="249">
        <v>1.48E-6</v>
      </c>
      <c r="D487" s="249">
        <v>3.5999999999999998E-8</v>
      </c>
      <c r="E487" s="249">
        <v>3.5999999999999998E-8</v>
      </c>
      <c r="F487" s="249"/>
      <c r="G487" s="291">
        <f t="shared" si="63"/>
        <v>1.7843971631205676E-7</v>
      </c>
      <c r="H487" s="291">
        <f t="shared" si="64"/>
        <v>6.1199999999999992E-7</v>
      </c>
      <c r="I487" s="291">
        <f t="shared" si="64"/>
        <v>6.1199999999999992E-7</v>
      </c>
      <c r="J487" s="291"/>
      <c r="K487" s="249">
        <f t="shared" si="60"/>
        <v>6.1199999999999992E-7</v>
      </c>
      <c r="L487" s="296">
        <f t="shared" si="61"/>
        <v>2.68056E-6</v>
      </c>
      <c r="M487" s="297">
        <f t="shared" si="62"/>
        <v>2.68056E-6</v>
      </c>
    </row>
    <row r="488" spans="1:13" hidden="1" x14ac:dyDescent="0.2">
      <c r="A488" s="619"/>
      <c r="B488" s="295" t="s">
        <v>200</v>
      </c>
      <c r="C488" s="249"/>
      <c r="D488" s="249">
        <v>4.6999999999999997E-8</v>
      </c>
      <c r="E488" s="249">
        <v>4.6999999999999997E-8</v>
      </c>
      <c r="F488" s="249"/>
      <c r="G488" s="291"/>
      <c r="H488" s="291">
        <f t="shared" si="64"/>
        <v>7.9899999999999999E-7</v>
      </c>
      <c r="I488" s="291">
        <f t="shared" si="64"/>
        <v>7.9899999999999999E-7</v>
      </c>
      <c r="J488" s="291"/>
      <c r="K488" s="249">
        <f t="shared" si="60"/>
        <v>7.9899999999999999E-7</v>
      </c>
      <c r="L488" s="296">
        <f t="shared" si="61"/>
        <v>3.49962E-6</v>
      </c>
      <c r="M488" s="297">
        <f t="shared" si="62"/>
        <v>3.49962E-6</v>
      </c>
    </row>
    <row r="489" spans="1:13" hidden="1" x14ac:dyDescent="0.2">
      <c r="A489" s="619"/>
      <c r="B489" s="295" t="s">
        <v>201</v>
      </c>
      <c r="C489" s="249"/>
      <c r="D489" s="249">
        <v>4.5000000000000003E-5</v>
      </c>
      <c r="E489" s="249">
        <v>4.5000000000000003E-5</v>
      </c>
      <c r="F489" s="249"/>
      <c r="G489" s="291"/>
      <c r="H489" s="291">
        <f t="shared" si="64"/>
        <v>7.6500000000000005E-4</v>
      </c>
      <c r="I489" s="291">
        <f t="shared" si="64"/>
        <v>7.6500000000000005E-4</v>
      </c>
      <c r="J489" s="291"/>
      <c r="K489" s="249">
        <f t="shared" si="60"/>
        <v>7.6500000000000005E-4</v>
      </c>
      <c r="L489" s="296">
        <f t="shared" si="61"/>
        <v>3.3507000000000003E-3</v>
      </c>
      <c r="M489" s="297">
        <f t="shared" si="62"/>
        <v>3.3507000000000003E-3</v>
      </c>
    </row>
    <row r="490" spans="1:13" hidden="1" x14ac:dyDescent="0.2">
      <c r="A490" s="619"/>
      <c r="B490" s="295" t="s">
        <v>202</v>
      </c>
      <c r="C490" s="249"/>
      <c r="D490" s="249">
        <v>7.9000000000000001E-4</v>
      </c>
      <c r="E490" s="249">
        <v>7.9000000000000001E-4</v>
      </c>
      <c r="F490" s="249"/>
      <c r="G490" s="291"/>
      <c r="H490" s="291">
        <f t="shared" si="64"/>
        <v>1.3430000000000001E-2</v>
      </c>
      <c r="I490" s="291">
        <f t="shared" si="64"/>
        <v>1.3430000000000001E-2</v>
      </c>
      <c r="J490" s="291"/>
      <c r="K490" s="249">
        <f t="shared" si="60"/>
        <v>1.3430000000000001E-2</v>
      </c>
      <c r="L490" s="296">
        <f t="shared" si="61"/>
        <v>5.8823400000000005E-2</v>
      </c>
      <c r="M490" s="297">
        <f t="shared" si="62"/>
        <v>5.8823400000000005E-2</v>
      </c>
    </row>
    <row r="491" spans="1:13" hidden="1" x14ac:dyDescent="0.2">
      <c r="A491" s="619"/>
      <c r="B491" s="295" t="s">
        <v>203</v>
      </c>
      <c r="C491" s="249"/>
      <c r="D491" s="249">
        <v>3.3000000000000003E-5</v>
      </c>
      <c r="E491" s="249">
        <v>3.3000000000000003E-5</v>
      </c>
      <c r="F491" s="249"/>
      <c r="G491" s="291"/>
      <c r="H491" s="291">
        <f t="shared" si="64"/>
        <v>5.6100000000000008E-4</v>
      </c>
      <c r="I491" s="291">
        <f t="shared" si="64"/>
        <v>5.6100000000000008E-4</v>
      </c>
      <c r="J491" s="291"/>
      <c r="K491" s="249">
        <f t="shared" si="60"/>
        <v>5.6100000000000008E-4</v>
      </c>
      <c r="L491" s="296">
        <f t="shared" si="61"/>
        <v>2.4571800000000006E-3</v>
      </c>
      <c r="M491" s="297">
        <f t="shared" si="62"/>
        <v>2.4571800000000006E-3</v>
      </c>
    </row>
    <row r="492" spans="1:13" hidden="1" x14ac:dyDescent="0.2">
      <c r="A492" s="619"/>
      <c r="B492" s="295" t="s">
        <v>204</v>
      </c>
      <c r="C492" s="249"/>
      <c r="D492" s="249">
        <v>2.8E-5</v>
      </c>
      <c r="E492" s="249">
        <v>2.8E-5</v>
      </c>
      <c r="F492" s="249"/>
      <c r="G492" s="291"/>
      <c r="H492" s="291">
        <f t="shared" si="64"/>
        <v>4.7599999999999997E-4</v>
      </c>
      <c r="I492" s="291">
        <f t="shared" si="64"/>
        <v>4.7599999999999997E-4</v>
      </c>
      <c r="J492" s="291"/>
      <c r="K492" s="249">
        <f t="shared" si="60"/>
        <v>4.7599999999999997E-4</v>
      </c>
      <c r="L492" s="296">
        <f t="shared" si="61"/>
        <v>2.0848799999999999E-3</v>
      </c>
      <c r="M492" s="297">
        <f t="shared" si="62"/>
        <v>2.0848799999999999E-3</v>
      </c>
    </row>
    <row r="493" spans="1:13" hidden="1" x14ac:dyDescent="0.2">
      <c r="A493" s="619"/>
      <c r="B493" s="295" t="s">
        <v>148</v>
      </c>
      <c r="C493" s="249">
        <v>2.3800000000000001E-6</v>
      </c>
      <c r="D493" s="249">
        <v>3.8E-3</v>
      </c>
      <c r="E493" s="249">
        <v>3.8E-3</v>
      </c>
      <c r="F493" s="249"/>
      <c r="G493" s="291">
        <f t="shared" si="63"/>
        <v>2.8695035460992913E-7</v>
      </c>
      <c r="H493" s="291">
        <f t="shared" si="64"/>
        <v>6.4600000000000005E-2</v>
      </c>
      <c r="I493" s="291">
        <f t="shared" si="64"/>
        <v>6.4600000000000005E-2</v>
      </c>
      <c r="J493" s="291"/>
      <c r="K493" s="249">
        <f t="shared" si="60"/>
        <v>6.4600000000000005E-2</v>
      </c>
      <c r="L493" s="296">
        <f t="shared" si="61"/>
        <v>0.28294800000000003</v>
      </c>
      <c r="M493" s="297">
        <f t="shared" si="62"/>
        <v>0.28294800000000003</v>
      </c>
    </row>
    <row r="494" spans="1:13" hidden="1" x14ac:dyDescent="0.2">
      <c r="A494" s="619"/>
      <c r="B494" s="295" t="s">
        <v>149</v>
      </c>
      <c r="C494" s="249">
        <v>1.6700000000000001E-6</v>
      </c>
      <c r="D494" s="249">
        <v>9.1000000000000004E-9</v>
      </c>
      <c r="E494" s="249">
        <v>9.1000000000000004E-9</v>
      </c>
      <c r="F494" s="249"/>
      <c r="G494" s="291">
        <f t="shared" si="63"/>
        <v>2.0134751773049647E-7</v>
      </c>
      <c r="H494" s="291">
        <f t="shared" si="64"/>
        <v>1.547E-7</v>
      </c>
      <c r="I494" s="291">
        <f t="shared" si="64"/>
        <v>1.547E-7</v>
      </c>
      <c r="J494" s="291"/>
      <c r="K494" s="249">
        <f t="shared" si="60"/>
        <v>2.0134751773049647E-7</v>
      </c>
      <c r="L494" s="296">
        <f t="shared" si="61"/>
        <v>8.8190212765957446E-7</v>
      </c>
      <c r="M494" s="297">
        <f t="shared" si="62"/>
        <v>8.8190212765957446E-7</v>
      </c>
    </row>
    <row r="495" spans="1:13" hidden="1" x14ac:dyDescent="0.2">
      <c r="A495" s="619"/>
      <c r="B495" s="295" t="s">
        <v>150</v>
      </c>
      <c r="C495" s="249"/>
      <c r="D495" s="249"/>
      <c r="E495" s="249"/>
      <c r="F495" s="249"/>
      <c r="G495" s="291"/>
      <c r="H495" s="291"/>
      <c r="I495" s="291"/>
      <c r="J495" s="291"/>
      <c r="K495" s="249">
        <f t="shared" si="60"/>
        <v>0</v>
      </c>
      <c r="L495" s="296">
        <f t="shared" si="61"/>
        <v>0</v>
      </c>
      <c r="M495" s="297">
        <f t="shared" si="62"/>
        <v>0</v>
      </c>
    </row>
    <row r="496" spans="1:13" hidden="1" x14ac:dyDescent="0.2">
      <c r="A496" s="619"/>
      <c r="B496" s="295" t="s">
        <v>205</v>
      </c>
      <c r="C496" s="249"/>
      <c r="D496" s="249">
        <v>1.8E-7</v>
      </c>
      <c r="E496" s="249">
        <v>1.8E-7</v>
      </c>
      <c r="F496" s="249"/>
      <c r="G496" s="291"/>
      <c r="H496" s="291">
        <f t="shared" si="64"/>
        <v>3.0599999999999999E-6</v>
      </c>
      <c r="I496" s="291">
        <f t="shared" si="64"/>
        <v>3.0599999999999999E-6</v>
      </c>
      <c r="J496" s="291"/>
      <c r="K496" s="249">
        <f t="shared" si="60"/>
        <v>3.0599999999999999E-6</v>
      </c>
      <c r="L496" s="296">
        <f t="shared" si="61"/>
        <v>1.34028E-5</v>
      </c>
      <c r="M496" s="297">
        <f t="shared" si="62"/>
        <v>1.34028E-5</v>
      </c>
    </row>
    <row r="497" spans="1:13" hidden="1" x14ac:dyDescent="0.2">
      <c r="A497" s="619"/>
      <c r="B497" s="295" t="s">
        <v>151</v>
      </c>
      <c r="C497" s="249">
        <v>6.3600000000000001E-5</v>
      </c>
      <c r="D497" s="249">
        <v>3.1000000000000001E-5</v>
      </c>
      <c r="E497" s="249">
        <v>3.1000000000000001E-5</v>
      </c>
      <c r="F497" s="249"/>
      <c r="G497" s="291">
        <f t="shared" si="63"/>
        <v>7.6680851063829786E-6</v>
      </c>
      <c r="H497" s="291">
        <f t="shared" si="64"/>
        <v>5.2700000000000002E-4</v>
      </c>
      <c r="I497" s="291">
        <f t="shared" si="64"/>
        <v>5.2700000000000002E-4</v>
      </c>
      <c r="J497" s="291"/>
      <c r="K497" s="249">
        <f t="shared" si="60"/>
        <v>5.2700000000000002E-4</v>
      </c>
      <c r="L497" s="296">
        <f t="shared" si="61"/>
        <v>2.3082600000000003E-3</v>
      </c>
      <c r="M497" s="297">
        <f t="shared" si="62"/>
        <v>2.3082600000000003E-3</v>
      </c>
    </row>
    <row r="498" spans="1:13" hidden="1" x14ac:dyDescent="0.2">
      <c r="A498" s="619"/>
      <c r="B498" s="295" t="s">
        <v>152</v>
      </c>
      <c r="C498" s="249">
        <v>4.8400000000000002E-6</v>
      </c>
      <c r="D498" s="249">
        <v>1.5999999999999999E-6</v>
      </c>
      <c r="E498" s="249">
        <v>1.5999999999999999E-6</v>
      </c>
      <c r="F498" s="249"/>
      <c r="G498" s="291">
        <f t="shared" si="63"/>
        <v>5.8354609929078021E-7</v>
      </c>
      <c r="H498" s="291">
        <f t="shared" si="64"/>
        <v>2.7199999999999997E-5</v>
      </c>
      <c r="I498" s="291">
        <f t="shared" si="64"/>
        <v>2.7199999999999997E-5</v>
      </c>
      <c r="J498" s="291"/>
      <c r="K498" s="249">
        <f t="shared" si="60"/>
        <v>2.7199999999999997E-5</v>
      </c>
      <c r="L498" s="296">
        <f t="shared" si="61"/>
        <v>1.1913599999999999E-4</v>
      </c>
      <c r="M498" s="297">
        <f t="shared" si="62"/>
        <v>1.1913599999999999E-4</v>
      </c>
    </row>
    <row r="499" spans="1:13" hidden="1" x14ac:dyDescent="0.2">
      <c r="A499" s="619"/>
      <c r="B499" s="295" t="s">
        <v>153</v>
      </c>
      <c r="C499" s="249">
        <v>4.4700000000000004E-6</v>
      </c>
      <c r="D499" s="249">
        <v>3.4000000000000001E-6</v>
      </c>
      <c r="E499" s="249">
        <v>3.4000000000000001E-6</v>
      </c>
      <c r="F499" s="249"/>
      <c r="G499" s="291">
        <f t="shared" si="63"/>
        <v>5.3893617021276606E-7</v>
      </c>
      <c r="H499" s="291">
        <f t="shared" si="64"/>
        <v>5.7800000000000002E-5</v>
      </c>
      <c r="I499" s="291">
        <f t="shared" si="64"/>
        <v>5.7800000000000002E-5</v>
      </c>
      <c r="J499" s="291"/>
      <c r="K499" s="249">
        <f t="shared" si="60"/>
        <v>5.7800000000000002E-5</v>
      </c>
      <c r="L499" s="296">
        <f t="shared" si="61"/>
        <v>2.53164E-4</v>
      </c>
      <c r="M499" s="297">
        <f t="shared" si="62"/>
        <v>2.53164E-4</v>
      </c>
    </row>
    <row r="500" spans="1:13" hidden="1" x14ac:dyDescent="0.2">
      <c r="A500" s="619"/>
      <c r="B500" s="295" t="s">
        <v>154</v>
      </c>
      <c r="C500" s="249">
        <v>3.3000000000000002E-2</v>
      </c>
      <c r="D500" s="249">
        <v>4.4000000000000003E-3</v>
      </c>
      <c r="E500" s="249">
        <v>4.4000000000000003E-3</v>
      </c>
      <c r="F500" s="249">
        <v>6.0999999999999999E-2</v>
      </c>
      <c r="G500" s="291">
        <f t="shared" si="63"/>
        <v>3.9787234042553193E-3</v>
      </c>
      <c r="H500" s="291">
        <f t="shared" si="64"/>
        <v>7.4800000000000005E-2</v>
      </c>
      <c r="I500" s="291">
        <f t="shared" si="64"/>
        <v>7.4800000000000005E-2</v>
      </c>
      <c r="J500" s="291">
        <f t="shared" ref="J500:J537" si="65">F500*$B$474</f>
        <v>6.9992373058673446E-3</v>
      </c>
      <c r="K500" s="249">
        <f t="shared" si="60"/>
        <v>7.4800000000000005E-2</v>
      </c>
      <c r="L500" s="296">
        <f t="shared" si="61"/>
        <v>0.32762400000000003</v>
      </c>
      <c r="M500" s="297">
        <f t="shared" si="62"/>
        <v>0.32762400000000003</v>
      </c>
    </row>
    <row r="501" spans="1:13" hidden="1" x14ac:dyDescent="0.2">
      <c r="A501" s="619"/>
      <c r="B501" s="295" t="s">
        <v>155</v>
      </c>
      <c r="C501" s="230">
        <v>1.8</v>
      </c>
      <c r="D501" s="249"/>
      <c r="E501" s="249"/>
      <c r="F501" s="249"/>
      <c r="G501" s="291">
        <f t="shared" si="63"/>
        <v>0.21702127659574469</v>
      </c>
      <c r="H501" s="291"/>
      <c r="I501" s="291"/>
      <c r="J501" s="291"/>
      <c r="K501" s="249">
        <f t="shared" si="60"/>
        <v>0.21702127659574469</v>
      </c>
      <c r="L501" s="296">
        <f>K501*8760/2000</f>
        <v>0.95055319148936179</v>
      </c>
      <c r="M501" s="298">
        <f t="shared" si="62"/>
        <v>0.95055319148936179</v>
      </c>
    </row>
    <row r="502" spans="1:13" hidden="1" x14ac:dyDescent="0.2">
      <c r="A502" s="619"/>
      <c r="B502" s="295" t="s">
        <v>206</v>
      </c>
      <c r="C502" s="230"/>
      <c r="D502" s="249">
        <v>1.9E-2</v>
      </c>
      <c r="E502" s="249">
        <v>1.9E-2</v>
      </c>
      <c r="F502" s="249"/>
      <c r="G502" s="291"/>
      <c r="H502" s="291">
        <f t="shared" si="64"/>
        <v>0.32300000000000001</v>
      </c>
      <c r="I502" s="291">
        <f t="shared" si="64"/>
        <v>0.32300000000000001</v>
      </c>
      <c r="J502" s="291"/>
      <c r="K502" s="249">
        <f t="shared" si="60"/>
        <v>0.32300000000000001</v>
      </c>
      <c r="L502" s="296">
        <f t="shared" si="61"/>
        <v>1.4147400000000001</v>
      </c>
      <c r="M502" s="297">
        <f t="shared" si="62"/>
        <v>1.4147400000000001</v>
      </c>
    </row>
    <row r="503" spans="1:13" hidden="1" x14ac:dyDescent="0.2">
      <c r="A503" s="619"/>
      <c r="B503" s="295" t="s">
        <v>156</v>
      </c>
      <c r="C503" s="249">
        <v>2.1399999999999998E-6</v>
      </c>
      <c r="D503" s="249">
        <v>8.6999999999999998E-8</v>
      </c>
      <c r="E503" s="249">
        <v>8.6999999999999998E-8</v>
      </c>
      <c r="F503" s="249"/>
      <c r="G503" s="291">
        <f t="shared" si="63"/>
        <v>2.5801418439716311E-7</v>
      </c>
      <c r="H503" s="291">
        <f t="shared" si="64"/>
        <v>1.4789999999999999E-6</v>
      </c>
      <c r="I503" s="291">
        <f t="shared" si="64"/>
        <v>1.4789999999999999E-6</v>
      </c>
      <c r="J503" s="291"/>
      <c r="K503" s="249">
        <f t="shared" si="60"/>
        <v>1.4789999999999999E-6</v>
      </c>
      <c r="L503" s="296">
        <f t="shared" si="61"/>
        <v>6.4780200000000002E-6</v>
      </c>
      <c r="M503" s="297">
        <f t="shared" si="62"/>
        <v>6.4780200000000002E-6</v>
      </c>
    </row>
    <row r="504" spans="1:13" hidden="1" x14ac:dyDescent="0.2">
      <c r="A504" s="619"/>
      <c r="B504" s="295" t="s">
        <v>157</v>
      </c>
      <c r="C504" s="249">
        <v>1.1299999999999999E-3</v>
      </c>
      <c r="D504" s="249">
        <v>9.7E-5</v>
      </c>
      <c r="E504" s="249">
        <v>9.7E-5</v>
      </c>
      <c r="F504" s="249"/>
      <c r="G504" s="291">
        <f t="shared" si="63"/>
        <v>1.3624113475177305E-4</v>
      </c>
      <c r="H504" s="291">
        <f t="shared" si="64"/>
        <v>1.6490000000000001E-3</v>
      </c>
      <c r="I504" s="291">
        <f t="shared" si="64"/>
        <v>1.6490000000000001E-3</v>
      </c>
      <c r="J504" s="291"/>
      <c r="K504" s="249">
        <f t="shared" si="60"/>
        <v>1.6490000000000001E-3</v>
      </c>
      <c r="L504" s="296">
        <f t="shared" si="61"/>
        <v>7.2226199999999999E-3</v>
      </c>
      <c r="M504" s="297">
        <f t="shared" si="62"/>
        <v>7.2226199999999999E-3</v>
      </c>
    </row>
    <row r="505" spans="1:13" hidden="1" x14ac:dyDescent="0.2">
      <c r="A505" s="619"/>
      <c r="B505" s="295" t="s">
        <v>207</v>
      </c>
      <c r="C505" s="249"/>
      <c r="D505" s="249">
        <v>1.1000000000000001E-7</v>
      </c>
      <c r="E505" s="249">
        <v>1.1000000000000001E-7</v>
      </c>
      <c r="F505" s="249"/>
      <c r="G505" s="291"/>
      <c r="H505" s="291">
        <f t="shared" si="64"/>
        <v>1.8700000000000001E-6</v>
      </c>
      <c r="I505" s="291">
        <f t="shared" si="64"/>
        <v>1.8700000000000001E-6</v>
      </c>
      <c r="J505" s="291"/>
      <c r="K505" s="249">
        <f t="shared" si="60"/>
        <v>1.8700000000000001E-6</v>
      </c>
      <c r="L505" s="296">
        <f t="shared" si="61"/>
        <v>8.1906000000000008E-6</v>
      </c>
      <c r="M505" s="297">
        <f t="shared" si="62"/>
        <v>8.1906000000000008E-6</v>
      </c>
    </row>
    <row r="506" spans="1:13" hidden="1" x14ac:dyDescent="0.2">
      <c r="A506" s="619"/>
      <c r="B506" s="295" t="s">
        <v>208</v>
      </c>
      <c r="C506" s="249"/>
      <c r="D506" s="249">
        <v>5.1E-8</v>
      </c>
      <c r="E506" s="249">
        <v>5.1E-8</v>
      </c>
      <c r="F506" s="249"/>
      <c r="G506" s="291"/>
      <c r="H506" s="291">
        <f t="shared" si="64"/>
        <v>8.6700000000000002E-7</v>
      </c>
      <c r="I506" s="291">
        <f t="shared" si="64"/>
        <v>8.6700000000000002E-7</v>
      </c>
      <c r="J506" s="291"/>
      <c r="K506" s="249">
        <f t="shared" si="60"/>
        <v>8.6700000000000002E-7</v>
      </c>
      <c r="L506" s="296">
        <f t="shared" si="61"/>
        <v>3.7974599999999998E-6</v>
      </c>
      <c r="M506" s="297">
        <f t="shared" si="62"/>
        <v>3.7974599999999998E-6</v>
      </c>
    </row>
    <row r="507" spans="1:13" hidden="1" x14ac:dyDescent="0.2">
      <c r="A507" s="619"/>
      <c r="B507" s="295" t="s">
        <v>158</v>
      </c>
      <c r="C507" s="249">
        <v>1.0499999999999999E-5</v>
      </c>
      <c r="D507" s="249">
        <v>6.9999999999999999E-6</v>
      </c>
      <c r="E507" s="249">
        <v>6.9999999999999999E-6</v>
      </c>
      <c r="F507" s="249"/>
      <c r="G507" s="291">
        <f t="shared" si="63"/>
        <v>1.2659574468085106E-6</v>
      </c>
      <c r="H507" s="291">
        <f t="shared" si="64"/>
        <v>1.1899999999999999E-4</v>
      </c>
      <c r="I507" s="291">
        <f t="shared" si="64"/>
        <v>1.1899999999999999E-4</v>
      </c>
      <c r="J507" s="291"/>
      <c r="K507" s="249">
        <f t="shared" si="60"/>
        <v>1.1899999999999999E-4</v>
      </c>
      <c r="L507" s="296">
        <f t="shared" si="61"/>
        <v>5.2121999999999997E-4</v>
      </c>
      <c r="M507" s="297">
        <f t="shared" si="62"/>
        <v>5.2121999999999997E-4</v>
      </c>
    </row>
    <row r="508" spans="1:13" hidden="1" x14ac:dyDescent="0.2">
      <c r="A508" s="619"/>
      <c r="B508" s="295" t="s">
        <v>209</v>
      </c>
      <c r="C508" s="249"/>
      <c r="D508" s="249">
        <v>5.1E-5</v>
      </c>
      <c r="E508" s="249">
        <v>5.1E-5</v>
      </c>
      <c r="F508" s="249"/>
      <c r="G508" s="291"/>
      <c r="H508" s="291">
        <f t="shared" si="64"/>
        <v>8.6700000000000004E-4</v>
      </c>
      <c r="I508" s="291">
        <f t="shared" si="64"/>
        <v>8.6700000000000004E-4</v>
      </c>
      <c r="J508" s="291"/>
      <c r="K508" s="249">
        <f t="shared" si="60"/>
        <v>8.6700000000000004E-4</v>
      </c>
      <c r="L508" s="296">
        <f t="shared" si="61"/>
        <v>3.7974599999999999E-3</v>
      </c>
      <c r="M508" s="297">
        <f t="shared" si="62"/>
        <v>3.7974599999999999E-3</v>
      </c>
    </row>
    <row r="509" spans="1:13" hidden="1" x14ac:dyDescent="0.2">
      <c r="A509" s="619"/>
      <c r="B509" s="295" t="s">
        <v>159</v>
      </c>
      <c r="C509" s="249">
        <v>4.25E-6</v>
      </c>
      <c r="D509" s="249">
        <v>3.7000000000000002E-6</v>
      </c>
      <c r="E509" s="249">
        <v>3.7000000000000002E-6</v>
      </c>
      <c r="F509" s="249"/>
      <c r="G509" s="291">
        <f t="shared" si="63"/>
        <v>5.124113475177305E-7</v>
      </c>
      <c r="H509" s="291">
        <f t="shared" si="64"/>
        <v>6.2899999999999997E-5</v>
      </c>
      <c r="I509" s="291">
        <f t="shared" si="64"/>
        <v>6.2899999999999997E-5</v>
      </c>
      <c r="J509" s="291"/>
      <c r="K509" s="249">
        <f t="shared" si="60"/>
        <v>6.2899999999999997E-5</v>
      </c>
      <c r="L509" s="296">
        <f t="shared" si="61"/>
        <v>2.7550199999999995E-4</v>
      </c>
      <c r="M509" s="297">
        <f t="shared" si="62"/>
        <v>2.7550199999999995E-4</v>
      </c>
    </row>
    <row r="510" spans="1:13" hidden="1" x14ac:dyDescent="0.2">
      <c r="A510" s="619"/>
      <c r="B510" s="295" t="s">
        <v>210</v>
      </c>
      <c r="C510" s="249"/>
      <c r="D510" s="249">
        <v>1.9E-3</v>
      </c>
      <c r="E510" s="249">
        <v>1.9E-3</v>
      </c>
      <c r="F510" s="249"/>
      <c r="G510" s="291"/>
      <c r="H510" s="291">
        <f t="shared" si="64"/>
        <v>3.2300000000000002E-2</v>
      </c>
      <c r="I510" s="291">
        <f t="shared" si="64"/>
        <v>3.2300000000000002E-2</v>
      </c>
      <c r="J510" s="291"/>
      <c r="K510" s="249">
        <f t="shared" si="60"/>
        <v>3.2300000000000002E-2</v>
      </c>
      <c r="L510" s="296">
        <f t="shared" si="61"/>
        <v>0.14147400000000002</v>
      </c>
      <c r="M510" s="297">
        <f t="shared" si="62"/>
        <v>0.14147400000000002</v>
      </c>
    </row>
    <row r="511" spans="1:13" hidden="1" x14ac:dyDescent="0.2">
      <c r="A511" s="619"/>
      <c r="B511" s="295" t="s">
        <v>211</v>
      </c>
      <c r="C511" s="249"/>
      <c r="D511" s="249">
        <v>8.5999999999999997E-12</v>
      </c>
      <c r="E511" s="249">
        <v>8.5999999999999997E-12</v>
      </c>
      <c r="F511" s="249"/>
      <c r="G511" s="291"/>
      <c r="H511" s="291">
        <f t="shared" si="64"/>
        <v>1.462E-10</v>
      </c>
      <c r="I511" s="291">
        <f t="shared" si="64"/>
        <v>1.462E-10</v>
      </c>
      <c r="J511" s="291"/>
      <c r="K511" s="249">
        <f t="shared" si="60"/>
        <v>1.462E-10</v>
      </c>
      <c r="L511" s="296">
        <f t="shared" si="61"/>
        <v>6.4035600000000002E-10</v>
      </c>
      <c r="M511" s="297">
        <f t="shared" si="62"/>
        <v>6.4035600000000002E-10</v>
      </c>
    </row>
    <row r="512" spans="1:13" hidden="1" x14ac:dyDescent="0.2">
      <c r="A512" s="619"/>
      <c r="B512" s="295" t="s">
        <v>160</v>
      </c>
      <c r="C512" s="249"/>
      <c r="D512" s="249">
        <v>9.2000000000000003E-4</v>
      </c>
      <c r="E512" s="249">
        <v>9.2000000000000003E-4</v>
      </c>
      <c r="F512" s="249"/>
      <c r="G512" s="291"/>
      <c r="H512" s="291">
        <f t="shared" si="64"/>
        <v>1.5640000000000001E-2</v>
      </c>
      <c r="I512" s="291">
        <f t="shared" si="64"/>
        <v>1.5640000000000001E-2</v>
      </c>
      <c r="J512" s="291"/>
      <c r="K512" s="249">
        <f t="shared" si="60"/>
        <v>1.5640000000000001E-2</v>
      </c>
      <c r="L512" s="296">
        <f t="shared" si="61"/>
        <v>6.85032E-2</v>
      </c>
      <c r="M512" s="297">
        <f t="shared" si="62"/>
        <v>6.85032E-2</v>
      </c>
    </row>
    <row r="513" spans="1:18" hidden="1" x14ac:dyDescent="0.2">
      <c r="A513" s="619"/>
      <c r="B513" s="295" t="s">
        <v>212</v>
      </c>
      <c r="C513" s="249"/>
      <c r="D513" s="249">
        <v>2.1999999999999998E-8</v>
      </c>
      <c r="E513" s="249">
        <v>2.1999999999999998E-8</v>
      </c>
      <c r="F513" s="249"/>
      <c r="G513" s="291"/>
      <c r="H513" s="291">
        <f t="shared" si="64"/>
        <v>3.7399999999999999E-7</v>
      </c>
      <c r="I513" s="291">
        <f t="shared" si="64"/>
        <v>3.7399999999999999E-7</v>
      </c>
      <c r="J513" s="291"/>
      <c r="K513" s="249">
        <f t="shared" si="60"/>
        <v>3.7399999999999999E-7</v>
      </c>
      <c r="L513" s="296">
        <f t="shared" si="61"/>
        <v>1.63812E-6</v>
      </c>
      <c r="M513" s="297">
        <f t="shared" si="62"/>
        <v>1.63812E-6</v>
      </c>
    </row>
    <row r="514" spans="1:18" hidden="1" x14ac:dyDescent="0.2">
      <c r="A514" s="619"/>
      <c r="B514" s="295" t="s">
        <v>161</v>
      </c>
      <c r="C514" s="249">
        <v>1.0900000000000001E-4</v>
      </c>
      <c r="D514" s="249">
        <v>2.5000000000000001E-5</v>
      </c>
      <c r="E514" s="249">
        <v>2.5000000000000001E-5</v>
      </c>
      <c r="F514" s="249"/>
      <c r="G514" s="291">
        <f t="shared" si="63"/>
        <v>1.3141843971631207E-5</v>
      </c>
      <c r="H514" s="291">
        <f t="shared" si="64"/>
        <v>4.2500000000000003E-4</v>
      </c>
      <c r="I514" s="291">
        <f t="shared" si="64"/>
        <v>4.2500000000000003E-4</v>
      </c>
      <c r="J514" s="291"/>
      <c r="K514" s="249">
        <f t="shared" si="60"/>
        <v>4.2500000000000003E-4</v>
      </c>
      <c r="L514" s="296">
        <f t="shared" si="61"/>
        <v>1.8615000000000001E-3</v>
      </c>
      <c r="M514" s="297">
        <f t="shared" si="62"/>
        <v>1.8615000000000001E-3</v>
      </c>
    </row>
    <row r="515" spans="1:18" hidden="1" x14ac:dyDescent="0.2">
      <c r="A515" s="619"/>
      <c r="B515" s="299" t="s">
        <v>213</v>
      </c>
      <c r="C515" s="249"/>
      <c r="D515" s="249">
        <v>1.8E-5</v>
      </c>
      <c r="E515" s="249">
        <v>1.8E-5</v>
      </c>
      <c r="F515" s="249"/>
      <c r="G515" s="291"/>
      <c r="H515" s="291">
        <f t="shared" si="64"/>
        <v>3.0600000000000001E-4</v>
      </c>
      <c r="I515" s="291">
        <f t="shared" si="64"/>
        <v>3.0600000000000001E-4</v>
      </c>
      <c r="J515" s="291"/>
      <c r="K515" s="249">
        <f t="shared" si="60"/>
        <v>3.0600000000000001E-4</v>
      </c>
      <c r="L515" s="296">
        <f t="shared" si="61"/>
        <v>1.3402800000000001E-3</v>
      </c>
      <c r="M515" s="297">
        <f t="shared" si="62"/>
        <v>1.3402800000000001E-3</v>
      </c>
    </row>
    <row r="516" spans="1:18" hidden="1" x14ac:dyDescent="0.2">
      <c r="A516" s="619"/>
      <c r="B516" s="295" t="s">
        <v>162</v>
      </c>
      <c r="C516" s="226"/>
      <c r="D516" s="226"/>
      <c r="E516" s="226"/>
      <c r="F516" s="226"/>
      <c r="G516" s="291"/>
      <c r="H516" s="291"/>
      <c r="I516" s="291"/>
      <c r="J516" s="291"/>
      <c r="K516" s="249">
        <f t="shared" si="60"/>
        <v>0</v>
      </c>
      <c r="L516" s="296">
        <f>K516*8760/2000</f>
        <v>0</v>
      </c>
      <c r="M516" s="297">
        <f>K516*8760/2000</f>
        <v>0</v>
      </c>
      <c r="O516" s="300"/>
      <c r="P516" s="300"/>
      <c r="Q516" s="300"/>
    </row>
    <row r="517" spans="1:18" hidden="1" x14ac:dyDescent="0.2">
      <c r="A517" s="619"/>
      <c r="B517" s="295" t="s">
        <v>163</v>
      </c>
      <c r="C517" s="226">
        <v>1.7200000000000001E-4</v>
      </c>
      <c r="D517" s="296">
        <v>2.1999999999999999E-5</v>
      </c>
      <c r="E517" s="296">
        <v>2.1999999999999999E-5</v>
      </c>
      <c r="F517" s="296">
        <v>0.11</v>
      </c>
      <c r="G517" s="291">
        <f t="shared" si="63"/>
        <v>2.0737588652482273E-5</v>
      </c>
      <c r="H517" s="291">
        <f t="shared" si="64"/>
        <v>3.7399999999999998E-4</v>
      </c>
      <c r="I517" s="291">
        <f t="shared" si="64"/>
        <v>3.7399999999999998E-4</v>
      </c>
      <c r="J517" s="291">
        <f t="shared" si="65"/>
        <v>1.262157546959685E-2</v>
      </c>
      <c r="K517" s="249">
        <f t="shared" si="60"/>
        <v>3.7399999999999998E-4</v>
      </c>
      <c r="L517" s="293">
        <f>K517*8760/2000</f>
        <v>1.6381200000000001E-3</v>
      </c>
      <c r="M517" s="294">
        <f>K517*8760/2000</f>
        <v>1.6381200000000001E-3</v>
      </c>
      <c r="O517" s="300"/>
      <c r="P517" s="300"/>
      <c r="Q517" s="300"/>
    </row>
    <row r="518" spans="1:18" hidden="1" x14ac:dyDescent="0.2">
      <c r="A518" s="619"/>
      <c r="B518" s="295" t="s">
        <v>164</v>
      </c>
      <c r="C518" s="226">
        <v>1.2899999999999999E-4</v>
      </c>
      <c r="D518" s="296">
        <v>1.1000000000000001E-6</v>
      </c>
      <c r="E518" s="296">
        <v>1.1000000000000001E-6</v>
      </c>
      <c r="F518" s="296"/>
      <c r="G518" s="291">
        <f t="shared" si="63"/>
        <v>1.5553191489361702E-5</v>
      </c>
      <c r="H518" s="291">
        <f t="shared" si="64"/>
        <v>1.8700000000000001E-5</v>
      </c>
      <c r="I518" s="291">
        <f t="shared" si="64"/>
        <v>1.8700000000000001E-5</v>
      </c>
      <c r="J518" s="291"/>
      <c r="K518" s="249">
        <f t="shared" si="60"/>
        <v>1.8700000000000001E-5</v>
      </c>
      <c r="L518" s="296">
        <f t="shared" ref="L518:L524" si="66">K518*8760/2000</f>
        <v>8.1906000000000012E-5</v>
      </c>
      <c r="M518" s="297">
        <f t="shared" ref="M518:M524" si="67">K518*8760/2000</f>
        <v>8.1906000000000012E-5</v>
      </c>
      <c r="O518" s="300"/>
      <c r="P518" s="300"/>
      <c r="Q518" s="300"/>
    </row>
    <row r="519" spans="1:18" hidden="1" x14ac:dyDescent="0.2">
      <c r="A519" s="619"/>
      <c r="B519" s="295" t="s">
        <v>165</v>
      </c>
      <c r="C519" s="226">
        <v>1.2899999999999999E-4</v>
      </c>
      <c r="D519" s="296">
        <v>4.0999999999999997E-6</v>
      </c>
      <c r="E519" s="296">
        <v>4.0999999999999997E-6</v>
      </c>
      <c r="F519" s="296">
        <v>9.2999999999999992E-3</v>
      </c>
      <c r="G519" s="291">
        <f t="shared" si="63"/>
        <v>1.5553191489361702E-5</v>
      </c>
      <c r="H519" s="291">
        <f t="shared" si="64"/>
        <v>6.97E-5</v>
      </c>
      <c r="I519" s="291">
        <f t="shared" si="64"/>
        <v>6.97E-5</v>
      </c>
      <c r="J519" s="291">
        <f t="shared" si="65"/>
        <v>1.0670968351568246E-3</v>
      </c>
      <c r="K519" s="249">
        <f t="shared" si="60"/>
        <v>6.97E-5</v>
      </c>
      <c r="L519" s="296">
        <f t="shared" si="66"/>
        <v>3.0528599999999999E-4</v>
      </c>
      <c r="M519" s="297">
        <f t="shared" si="67"/>
        <v>3.0528599999999999E-4</v>
      </c>
      <c r="O519" s="300"/>
      <c r="P519" s="300"/>
      <c r="Q519" s="300"/>
    </row>
    <row r="520" spans="1:18" hidden="1" x14ac:dyDescent="0.2">
      <c r="A520" s="619"/>
      <c r="B520" s="295" t="s">
        <v>166</v>
      </c>
      <c r="C520" s="226">
        <v>1.2899999999999999E-4</v>
      </c>
      <c r="D520" s="296">
        <v>2.0999999999999999E-5</v>
      </c>
      <c r="E520" s="296">
        <v>2.0999999999999999E-5</v>
      </c>
      <c r="F520" s="296">
        <v>0.02</v>
      </c>
      <c r="G520" s="291">
        <f t="shared" si="63"/>
        <v>1.5553191489361702E-5</v>
      </c>
      <c r="H520" s="291">
        <f t="shared" si="64"/>
        <v>3.57E-4</v>
      </c>
      <c r="I520" s="291">
        <f t="shared" si="64"/>
        <v>3.57E-4</v>
      </c>
      <c r="J520" s="291">
        <f t="shared" si="65"/>
        <v>2.294831903563064E-3</v>
      </c>
      <c r="K520" s="249">
        <f t="shared" si="60"/>
        <v>3.57E-4</v>
      </c>
      <c r="L520" s="296">
        <f t="shared" si="66"/>
        <v>1.5636600000000001E-3</v>
      </c>
      <c r="M520" s="297">
        <f t="shared" si="67"/>
        <v>1.5636600000000001E-3</v>
      </c>
      <c r="O520" s="300"/>
      <c r="P520" s="300"/>
      <c r="Q520" s="300"/>
    </row>
    <row r="521" spans="1:18" hidden="1" x14ac:dyDescent="0.2">
      <c r="A521" s="619"/>
      <c r="B521" s="295" t="s">
        <v>167</v>
      </c>
      <c r="C521" s="226">
        <v>1.2899999999999999E-4</v>
      </c>
      <c r="D521" s="296">
        <v>6.4999999999999996E-6</v>
      </c>
      <c r="E521" s="296">
        <v>6.4999999999999996E-6</v>
      </c>
      <c r="F521" s="296">
        <v>2.1000000000000001E-4</v>
      </c>
      <c r="G521" s="291">
        <f t="shared" si="63"/>
        <v>1.5553191489361702E-5</v>
      </c>
      <c r="H521" s="291">
        <f t="shared" si="64"/>
        <v>1.1049999999999999E-4</v>
      </c>
      <c r="I521" s="291">
        <f t="shared" si="64"/>
        <v>1.1049999999999999E-4</v>
      </c>
      <c r="J521" s="291">
        <f t="shared" si="65"/>
        <v>2.4095734987412172E-5</v>
      </c>
      <c r="K521" s="249">
        <f t="shared" si="60"/>
        <v>1.1049999999999999E-4</v>
      </c>
      <c r="L521" s="296">
        <f t="shared" si="66"/>
        <v>4.8398999999999995E-4</v>
      </c>
      <c r="M521" s="297">
        <f t="shared" si="67"/>
        <v>4.8398999999999995E-4</v>
      </c>
      <c r="O521" s="300"/>
      <c r="P521" s="300"/>
      <c r="Q521" s="300"/>
    </row>
    <row r="522" spans="1:18" hidden="1" x14ac:dyDescent="0.2">
      <c r="A522" s="619"/>
      <c r="B522" s="295" t="s">
        <v>168</v>
      </c>
      <c r="C522" s="226">
        <v>2.5799999999999998E-4</v>
      </c>
      <c r="D522" s="226">
        <v>1.6000000000000001E-3</v>
      </c>
      <c r="E522" s="226">
        <v>1.6000000000000001E-3</v>
      </c>
      <c r="F522" s="226">
        <v>6.8000000000000005E-2</v>
      </c>
      <c r="G522" s="291">
        <f t="shared" si="63"/>
        <v>3.1106382978723404E-5</v>
      </c>
      <c r="H522" s="291">
        <f t="shared" si="64"/>
        <v>2.7200000000000002E-2</v>
      </c>
      <c r="I522" s="291">
        <f t="shared" si="64"/>
        <v>2.7200000000000002E-2</v>
      </c>
      <c r="J522" s="291">
        <f t="shared" si="65"/>
        <v>7.8024284721144171E-3</v>
      </c>
      <c r="K522" s="249">
        <f t="shared" si="60"/>
        <v>2.7200000000000002E-2</v>
      </c>
      <c r="L522" s="296">
        <f t="shared" si="66"/>
        <v>0.11913600000000001</v>
      </c>
      <c r="M522" s="297">
        <f t="shared" si="67"/>
        <v>0.11913600000000001</v>
      </c>
      <c r="O522" s="275"/>
      <c r="P522" s="300"/>
      <c r="Q522" s="300"/>
    </row>
    <row r="523" spans="1:18" hidden="1" x14ac:dyDescent="0.2">
      <c r="A523" s="619"/>
      <c r="B523" s="295" t="s">
        <v>169</v>
      </c>
      <c r="C523" s="230">
        <v>1.2899999999999999E-4</v>
      </c>
      <c r="D523" s="258">
        <v>3.4999999999999999E-6</v>
      </c>
      <c r="E523" s="258">
        <v>3.4999999999999999E-6</v>
      </c>
      <c r="F523" s="230">
        <v>1.13E-4</v>
      </c>
      <c r="G523" s="292">
        <f t="shared" si="63"/>
        <v>1.5553191489361702E-5</v>
      </c>
      <c r="H523" s="292">
        <f t="shared" si="64"/>
        <v>5.9499999999999996E-5</v>
      </c>
      <c r="I523" s="292">
        <f t="shared" si="64"/>
        <v>5.9499999999999996E-5</v>
      </c>
      <c r="J523" s="292">
        <f t="shared" si="65"/>
        <v>1.296580025513131E-5</v>
      </c>
      <c r="K523" s="252">
        <f t="shared" si="60"/>
        <v>5.9499999999999996E-5</v>
      </c>
      <c r="L523" s="258">
        <f t="shared" si="66"/>
        <v>2.6060999999999999E-4</v>
      </c>
      <c r="M523" s="301">
        <f t="shared" si="67"/>
        <v>2.6060999999999999E-4</v>
      </c>
      <c r="N523" s="275"/>
      <c r="O523" s="302"/>
      <c r="P523" s="276"/>
      <c r="Q523" s="276"/>
      <c r="R523" s="275"/>
    </row>
    <row r="524" spans="1:18" hidden="1" x14ac:dyDescent="0.2">
      <c r="A524" s="619"/>
      <c r="B524" s="295" t="s">
        <v>170</v>
      </c>
      <c r="C524" s="226">
        <v>1.2899999999999999E-4</v>
      </c>
      <c r="D524" s="226">
        <v>3.3000000000000003E-5</v>
      </c>
      <c r="E524" s="226">
        <v>3.3000000000000003E-5</v>
      </c>
      <c r="F524" s="226">
        <v>1.0999999999999999E-2</v>
      </c>
      <c r="G524" s="291">
        <f t="shared" si="63"/>
        <v>1.5553191489361702E-5</v>
      </c>
      <c r="H524" s="291">
        <f t="shared" si="64"/>
        <v>5.6100000000000008E-4</v>
      </c>
      <c r="I524" s="291">
        <f t="shared" si="64"/>
        <v>5.6100000000000008E-4</v>
      </c>
      <c r="J524" s="291">
        <f t="shared" si="65"/>
        <v>1.2621575469596851E-3</v>
      </c>
      <c r="K524" s="249">
        <f t="shared" si="60"/>
        <v>5.6100000000000008E-4</v>
      </c>
      <c r="L524" s="296">
        <f t="shared" si="66"/>
        <v>2.4571800000000006E-3</v>
      </c>
      <c r="M524" s="297">
        <f t="shared" si="67"/>
        <v>2.4571800000000006E-3</v>
      </c>
      <c r="O524" s="300"/>
      <c r="P524" s="300"/>
      <c r="Q524" s="300"/>
    </row>
    <row r="525" spans="1:18" hidden="1" x14ac:dyDescent="0.2">
      <c r="A525" s="619"/>
      <c r="B525" s="295" t="s">
        <v>171</v>
      </c>
      <c r="C525" s="226">
        <v>6.4499999999999996E-4</v>
      </c>
      <c r="D525" s="226">
        <v>2.7999999999999999E-6</v>
      </c>
      <c r="E525" s="226">
        <v>2.7999999999999999E-6</v>
      </c>
      <c r="F525" s="226"/>
      <c r="G525" s="291">
        <f t="shared" si="63"/>
        <v>7.7765957446808507E-5</v>
      </c>
      <c r="H525" s="291">
        <f t="shared" si="64"/>
        <v>4.7599999999999998E-5</v>
      </c>
      <c r="I525" s="291">
        <f t="shared" si="64"/>
        <v>4.7599999999999998E-5</v>
      </c>
      <c r="J525" s="291"/>
      <c r="K525" s="249">
        <f t="shared" si="60"/>
        <v>7.7765957446808507E-5</v>
      </c>
      <c r="L525" s="296">
        <f>K525*8760/2000</f>
        <v>3.4061489361702124E-4</v>
      </c>
      <c r="M525" s="297">
        <f>K525*8760/2000</f>
        <v>3.4061489361702124E-4</v>
      </c>
      <c r="O525" s="300"/>
      <c r="P525" s="300"/>
      <c r="Q525" s="300"/>
    </row>
    <row r="526" spans="1:18" hidden="1" x14ac:dyDescent="0.2">
      <c r="A526" s="619"/>
      <c r="B526" s="303" t="s">
        <v>172</v>
      </c>
      <c r="C526" s="226"/>
      <c r="D526" s="226"/>
      <c r="E526" s="226"/>
      <c r="F526" s="226"/>
      <c r="G526" s="291"/>
      <c r="H526" s="291"/>
      <c r="I526" s="291"/>
      <c r="J526" s="291"/>
      <c r="K526" s="254">
        <f>SUM(K476:K525)</f>
        <v>0.92913086253910782</v>
      </c>
      <c r="L526" s="254">
        <f>SUM(L476:L525)</f>
        <v>4.069593177921293</v>
      </c>
      <c r="M526" s="332">
        <f>SUM(M476:M525)</f>
        <v>4.069593177921293</v>
      </c>
      <c r="O526" s="300"/>
      <c r="P526" s="300"/>
      <c r="Q526" s="300"/>
    </row>
    <row r="527" spans="1:18" hidden="1" x14ac:dyDescent="0.2">
      <c r="A527" s="619"/>
      <c r="B527" s="303" t="s">
        <v>173</v>
      </c>
      <c r="C527" s="226">
        <v>1.5200000000000001E-3</v>
      </c>
      <c r="D527" s="226">
        <v>4.8000000000000001E-5</v>
      </c>
      <c r="E527" s="226">
        <v>4.8000000000000001E-5</v>
      </c>
      <c r="F527" s="226">
        <v>1.5100000000000001E-3</v>
      </c>
      <c r="G527" s="291">
        <f t="shared" si="63"/>
        <v>1.8326241134751774E-4</v>
      </c>
      <c r="H527" s="291">
        <f t="shared" si="64"/>
        <v>8.1599999999999999E-4</v>
      </c>
      <c r="I527" s="291">
        <f t="shared" si="64"/>
        <v>8.1599999999999999E-4</v>
      </c>
      <c r="J527" s="291">
        <f t="shared" si="65"/>
        <v>1.7325980871901132E-4</v>
      </c>
      <c r="K527" s="249">
        <f t="shared" si="60"/>
        <v>8.1599999999999999E-4</v>
      </c>
      <c r="L527" s="254">
        <f>K527*8760/2000</f>
        <v>3.5740799999999999E-3</v>
      </c>
      <c r="M527" s="333">
        <f>K527*8760/2000</f>
        <v>3.5740799999999999E-3</v>
      </c>
      <c r="O527" s="300"/>
      <c r="P527" s="300"/>
      <c r="Q527" s="300"/>
    </row>
    <row r="528" spans="1:18" hidden="1" x14ac:dyDescent="0.2">
      <c r="A528" s="619"/>
      <c r="B528" s="303" t="s">
        <v>174</v>
      </c>
      <c r="C528" s="226">
        <v>2</v>
      </c>
      <c r="D528" s="226">
        <v>0.4</v>
      </c>
      <c r="E528" s="226">
        <v>0.4</v>
      </c>
      <c r="F528" s="226">
        <v>51</v>
      </c>
      <c r="G528" s="291">
        <f t="shared" si="63"/>
        <v>0.24113475177304966</v>
      </c>
      <c r="H528" s="291">
        <f t="shared" si="64"/>
        <v>6.8000000000000007</v>
      </c>
      <c r="I528" s="291">
        <f>E528*$B$470</f>
        <v>6.8000000000000007</v>
      </c>
      <c r="J528" s="291">
        <f t="shared" si="65"/>
        <v>5.8518213540858124</v>
      </c>
      <c r="K528" s="249">
        <f t="shared" si="60"/>
        <v>6.8000000000000007</v>
      </c>
      <c r="L528" s="254">
        <f>K528*8760/2000</f>
        <v>29.784000000000002</v>
      </c>
      <c r="M528" s="333">
        <v>23</v>
      </c>
      <c r="O528" s="300"/>
      <c r="P528" s="300"/>
      <c r="Q528" s="300"/>
    </row>
    <row r="529" spans="1:17" hidden="1" x14ac:dyDescent="0.2">
      <c r="A529" s="619"/>
      <c r="B529" s="303" t="s">
        <v>175</v>
      </c>
      <c r="C529" s="226">
        <v>2</v>
      </c>
      <c r="D529" s="226">
        <v>0.5</v>
      </c>
      <c r="E529" s="226">
        <v>0.5</v>
      </c>
      <c r="F529" s="226">
        <v>51</v>
      </c>
      <c r="G529" s="291">
        <f t="shared" si="63"/>
        <v>0.24113475177304966</v>
      </c>
      <c r="H529" s="291">
        <f t="shared" si="64"/>
        <v>8.5</v>
      </c>
      <c r="I529" s="291">
        <f t="shared" si="64"/>
        <v>8.5</v>
      </c>
      <c r="J529" s="291">
        <f t="shared" si="65"/>
        <v>5.8518213540858124</v>
      </c>
      <c r="K529" s="249">
        <f t="shared" si="60"/>
        <v>8.5</v>
      </c>
      <c r="L529" s="254">
        <f>K529*8760/2000</f>
        <v>37.229999999999997</v>
      </c>
      <c r="M529" s="333">
        <v>13</v>
      </c>
      <c r="O529" s="300"/>
      <c r="P529" s="300"/>
      <c r="Q529" s="300"/>
    </row>
    <row r="530" spans="1:17" hidden="1" x14ac:dyDescent="0.2">
      <c r="A530" s="619"/>
      <c r="B530" s="303" t="s">
        <v>176</v>
      </c>
      <c r="C530" s="226">
        <v>2</v>
      </c>
      <c r="D530" s="226">
        <v>0.5</v>
      </c>
      <c r="E530" s="226">
        <v>0.5</v>
      </c>
      <c r="F530" s="226">
        <v>51</v>
      </c>
      <c r="G530" s="291">
        <f t="shared" si="63"/>
        <v>0.24113475177304966</v>
      </c>
      <c r="H530" s="291">
        <f t="shared" si="64"/>
        <v>8.5</v>
      </c>
      <c r="I530" s="291">
        <f t="shared" si="64"/>
        <v>8.5</v>
      </c>
      <c r="J530" s="291">
        <f t="shared" si="65"/>
        <v>5.8518213540858124</v>
      </c>
      <c r="K530" s="249">
        <f t="shared" si="60"/>
        <v>8.5</v>
      </c>
      <c r="L530" s="254">
        <f t="shared" ref="L530:L537" si="68">K530*8760/2000</f>
        <v>37.229999999999997</v>
      </c>
      <c r="M530" s="333">
        <v>13</v>
      </c>
      <c r="O530" s="300"/>
      <c r="P530" s="300"/>
      <c r="Q530" s="300"/>
    </row>
    <row r="531" spans="1:17" hidden="1" x14ac:dyDescent="0.2">
      <c r="A531" s="619"/>
      <c r="B531" s="303" t="s">
        <v>177</v>
      </c>
      <c r="C531" s="226">
        <v>78.5</v>
      </c>
      <c r="D531" s="226">
        <v>2</v>
      </c>
      <c r="E531" s="226">
        <v>0.48</v>
      </c>
      <c r="F531" s="226">
        <v>265</v>
      </c>
      <c r="G531" s="291">
        <f t="shared" si="63"/>
        <v>9.4645390070921991</v>
      </c>
      <c r="H531" s="291">
        <f t="shared" si="64"/>
        <v>34</v>
      </c>
      <c r="I531" s="291">
        <f t="shared" si="64"/>
        <v>8.16</v>
      </c>
      <c r="J531" s="291">
        <f t="shared" si="65"/>
        <v>30.406522722210596</v>
      </c>
      <c r="K531" s="249">
        <f t="shared" si="60"/>
        <v>34</v>
      </c>
      <c r="L531" s="254">
        <f t="shared" si="68"/>
        <v>148.91999999999999</v>
      </c>
      <c r="M531" s="334">
        <f t="shared" ref="M531:M537" si="69">K531*8760/2000</f>
        <v>148.91999999999999</v>
      </c>
      <c r="O531" s="300"/>
      <c r="P531" s="300"/>
      <c r="Q531" s="300"/>
    </row>
    <row r="532" spans="1:17" hidden="1" x14ac:dyDescent="0.2">
      <c r="A532" s="619"/>
      <c r="B532" s="303" t="s">
        <v>178</v>
      </c>
      <c r="C532" s="226">
        <v>20</v>
      </c>
      <c r="D532" s="226">
        <v>0.22</v>
      </c>
      <c r="E532" s="226">
        <v>0.22</v>
      </c>
      <c r="F532" s="226">
        <v>19</v>
      </c>
      <c r="G532" s="291">
        <f t="shared" si="63"/>
        <v>2.4113475177304968</v>
      </c>
      <c r="H532" s="291">
        <f t="shared" si="64"/>
        <v>3.74</v>
      </c>
      <c r="I532" s="291">
        <f t="shared" si="64"/>
        <v>3.74</v>
      </c>
      <c r="J532" s="291">
        <f t="shared" si="65"/>
        <v>2.1800903083849104</v>
      </c>
      <c r="K532" s="249">
        <f t="shared" si="60"/>
        <v>3.74</v>
      </c>
      <c r="L532" s="254">
        <f t="shared" si="68"/>
        <v>16.3812</v>
      </c>
      <c r="M532" s="333">
        <f t="shared" si="69"/>
        <v>16.3812</v>
      </c>
      <c r="O532" s="300"/>
      <c r="P532" s="300"/>
      <c r="Q532" s="300"/>
    </row>
    <row r="533" spans="1:17" hidden="1" x14ac:dyDescent="0.2">
      <c r="A533" s="619"/>
      <c r="B533" s="303" t="s">
        <v>179</v>
      </c>
      <c r="C533" s="226">
        <v>0.34</v>
      </c>
      <c r="D533" s="226">
        <v>1.7000000000000001E-2</v>
      </c>
      <c r="E533" s="226">
        <v>1.7000000000000001E-2</v>
      </c>
      <c r="F533" s="226">
        <v>1</v>
      </c>
      <c r="G533" s="291">
        <f t="shared" si="63"/>
        <v>4.0992907801418448E-2</v>
      </c>
      <c r="H533" s="291">
        <f>D533*$B$470</f>
        <v>0.28900000000000003</v>
      </c>
      <c r="I533" s="291">
        <f>E533*$B$470</f>
        <v>0.28900000000000003</v>
      </c>
      <c r="J533" s="291">
        <f t="shared" si="65"/>
        <v>0.11474159517815319</v>
      </c>
      <c r="K533" s="249">
        <f t="shared" si="60"/>
        <v>0.28900000000000003</v>
      </c>
      <c r="L533" s="254">
        <f t="shared" si="68"/>
        <v>1.2658200000000002</v>
      </c>
      <c r="M533" s="333">
        <f t="shared" si="69"/>
        <v>1.2658200000000002</v>
      </c>
      <c r="O533" s="300"/>
      <c r="P533" s="300"/>
      <c r="Q533" s="300"/>
    </row>
    <row r="534" spans="1:17" ht="13.5" hidden="1" thickBot="1" x14ac:dyDescent="0.25">
      <c r="A534" s="619"/>
      <c r="B534" s="311" t="s">
        <v>215</v>
      </c>
      <c r="C534" s="312">
        <v>5</v>
      </c>
      <c r="D534" s="313">
        <v>0.6</v>
      </c>
      <c r="E534" s="313">
        <v>0.6</v>
      </c>
      <c r="F534" s="313">
        <v>5</v>
      </c>
      <c r="G534" s="314">
        <f t="shared" si="63"/>
        <v>0.60283687943262421</v>
      </c>
      <c r="H534" s="314">
        <f t="shared" si="64"/>
        <v>10.199999999999999</v>
      </c>
      <c r="I534" s="314">
        <f t="shared" si="64"/>
        <v>10.199999999999999</v>
      </c>
      <c r="J534" s="314">
        <f t="shared" si="65"/>
        <v>0.57370797589076594</v>
      </c>
      <c r="K534" s="314">
        <f t="shared" si="60"/>
        <v>10.199999999999999</v>
      </c>
      <c r="L534" s="315">
        <f t="shared" si="68"/>
        <v>44.676000000000002</v>
      </c>
      <c r="M534" s="335">
        <f t="shared" si="69"/>
        <v>44.676000000000002</v>
      </c>
      <c r="O534" s="307"/>
      <c r="P534" s="307"/>
      <c r="Q534" s="307"/>
    </row>
    <row r="535" spans="1:17" hidden="1" x14ac:dyDescent="0.2">
      <c r="A535" s="619"/>
      <c r="B535" s="317" t="s">
        <v>181</v>
      </c>
      <c r="C535" s="318">
        <v>22300</v>
      </c>
      <c r="D535" s="318">
        <v>195</v>
      </c>
      <c r="E535" s="318">
        <v>195</v>
      </c>
      <c r="F535" s="318">
        <v>25000</v>
      </c>
      <c r="G535" s="319">
        <f t="shared" si="63"/>
        <v>2688.6524822695037</v>
      </c>
      <c r="H535" s="319">
        <f t="shared" ref="H535:I537" si="70">D535*$B$470</f>
        <v>3315</v>
      </c>
      <c r="I535" s="319">
        <f t="shared" si="70"/>
        <v>3315</v>
      </c>
      <c r="J535" s="319">
        <f t="shared" si="65"/>
        <v>2868.5398794538296</v>
      </c>
      <c r="K535" s="319">
        <f t="shared" si="60"/>
        <v>3315</v>
      </c>
      <c r="L535" s="336">
        <f t="shared" si="68"/>
        <v>14519.7</v>
      </c>
      <c r="M535" s="337">
        <f t="shared" si="69"/>
        <v>14519.7</v>
      </c>
      <c r="N535" s="256"/>
      <c r="O535" s="270"/>
      <c r="P535" s="256"/>
      <c r="Q535" s="256"/>
    </row>
    <row r="536" spans="1:17" hidden="1" x14ac:dyDescent="0.2">
      <c r="A536" s="619"/>
      <c r="B536" s="322" t="s">
        <v>182</v>
      </c>
      <c r="C536" s="226">
        <v>5.1999999999999998E-2</v>
      </c>
      <c r="D536" s="226">
        <v>2.1000000000000001E-2</v>
      </c>
      <c r="E536" s="226">
        <v>2.1000000000000001E-2</v>
      </c>
      <c r="F536" s="226">
        <v>1</v>
      </c>
      <c r="G536" s="249">
        <f t="shared" si="63"/>
        <v>6.2695035460992908E-3</v>
      </c>
      <c r="H536" s="249">
        <f t="shared" si="70"/>
        <v>0.35700000000000004</v>
      </c>
      <c r="I536" s="249">
        <f t="shared" si="70"/>
        <v>0.35700000000000004</v>
      </c>
      <c r="J536" s="249">
        <f t="shared" si="65"/>
        <v>0.11474159517815319</v>
      </c>
      <c r="K536" s="249">
        <f t="shared" si="60"/>
        <v>0.35700000000000004</v>
      </c>
      <c r="L536" s="323">
        <f t="shared" si="68"/>
        <v>1.56366</v>
      </c>
      <c r="M536" s="338">
        <f t="shared" si="69"/>
        <v>1.56366</v>
      </c>
      <c r="N536" s="256"/>
      <c r="O536" s="270"/>
      <c r="P536" s="256"/>
      <c r="Q536" s="256"/>
    </row>
    <row r="537" spans="1:17" hidden="1" x14ac:dyDescent="0.2">
      <c r="A537" s="619"/>
      <c r="B537" s="322" t="s">
        <v>183</v>
      </c>
      <c r="C537" s="226">
        <v>0.26</v>
      </c>
      <c r="D537" s="226">
        <v>1.2999999999999999E-2</v>
      </c>
      <c r="E537" s="226">
        <v>1.2999999999999999E-2</v>
      </c>
      <c r="F537" s="226">
        <v>0.53</v>
      </c>
      <c r="G537" s="249">
        <f t="shared" si="63"/>
        <v>3.134751773049646E-2</v>
      </c>
      <c r="H537" s="249">
        <f t="shared" si="70"/>
        <v>0.221</v>
      </c>
      <c r="I537" s="249">
        <f t="shared" si="70"/>
        <v>0.221</v>
      </c>
      <c r="J537" s="249">
        <f t="shared" si="65"/>
        <v>6.081304544442119E-2</v>
      </c>
      <c r="K537" s="249">
        <f t="shared" si="60"/>
        <v>0.221</v>
      </c>
      <c r="L537" s="323">
        <f t="shared" si="68"/>
        <v>0.96798000000000006</v>
      </c>
      <c r="M537" s="338">
        <f t="shared" si="69"/>
        <v>0.96798000000000006</v>
      </c>
      <c r="N537" s="256"/>
      <c r="O537" s="270"/>
      <c r="P537" s="256"/>
      <c r="Q537" s="256"/>
    </row>
    <row r="538" spans="1:17" hidden="1" x14ac:dyDescent="0.2">
      <c r="A538" s="619"/>
      <c r="B538" s="322" t="s">
        <v>184</v>
      </c>
      <c r="C538" s="258"/>
      <c r="D538" s="258"/>
      <c r="E538" s="258"/>
      <c r="F538" s="258"/>
      <c r="G538" s="258">
        <f t="shared" ref="G538:M538" si="71">SUM(G535:G537)</f>
        <v>2688.6900992907804</v>
      </c>
      <c r="H538" s="258">
        <f t="shared" si="71"/>
        <v>3315.578</v>
      </c>
      <c r="I538" s="258">
        <f t="shared" si="71"/>
        <v>3315.578</v>
      </c>
      <c r="J538" s="258">
        <f t="shared" si="71"/>
        <v>2868.7154340944521</v>
      </c>
      <c r="K538" s="258">
        <f t="shared" si="71"/>
        <v>3315.578</v>
      </c>
      <c r="L538" s="339">
        <f t="shared" si="71"/>
        <v>14522.23164</v>
      </c>
      <c r="M538" s="340">
        <f t="shared" si="71"/>
        <v>14522.23164</v>
      </c>
      <c r="N538" s="256"/>
      <c r="O538" s="270"/>
      <c r="P538" s="256"/>
      <c r="Q538" s="256"/>
    </row>
    <row r="539" spans="1:17" ht="13.5" hidden="1" thickBot="1" x14ac:dyDescent="0.25">
      <c r="A539" s="620"/>
      <c r="B539" s="325" t="s">
        <v>185</v>
      </c>
      <c r="C539" s="326"/>
      <c r="D539" s="327"/>
      <c r="E539" s="327"/>
      <c r="F539" s="327"/>
      <c r="G539" s="327">
        <f t="shared" ref="G539:M539" si="72">G535+(G536*21)+(G537*310)</f>
        <v>2698.5018723404255</v>
      </c>
      <c r="H539" s="327">
        <f t="shared" si="72"/>
        <v>3391.0070000000001</v>
      </c>
      <c r="I539" s="327">
        <f t="shared" si="72"/>
        <v>3391.0070000000001</v>
      </c>
      <c r="J539" s="327">
        <f t="shared" si="72"/>
        <v>2889.8014970403415</v>
      </c>
      <c r="K539" s="327">
        <f t="shared" si="72"/>
        <v>3391.0070000000001</v>
      </c>
      <c r="L539" s="341">
        <f t="shared" si="72"/>
        <v>14852.61066</v>
      </c>
      <c r="M539" s="342">
        <f t="shared" si="72"/>
        <v>14852.61066</v>
      </c>
      <c r="N539" s="256"/>
      <c r="O539" s="270"/>
      <c r="P539" s="256"/>
      <c r="Q539" s="256"/>
    </row>
    <row r="540" spans="1:17" hidden="1" x14ac:dyDescent="0.2"/>
    <row r="541" spans="1:17" hidden="1" x14ac:dyDescent="0.2">
      <c r="A541" s="343" t="s">
        <v>232</v>
      </c>
    </row>
    <row r="542" spans="1:17" hidden="1" x14ac:dyDescent="0.2">
      <c r="A542" s="344" t="s">
        <v>233</v>
      </c>
      <c r="B542" s="345"/>
      <c r="C542" s="345"/>
      <c r="D542" s="345"/>
      <c r="E542" s="345"/>
      <c r="F542" s="345"/>
      <c r="G542" s="345"/>
      <c r="H542" s="345"/>
      <c r="I542" s="345"/>
      <c r="L542" s="219"/>
    </row>
    <row r="543" spans="1:17" hidden="1" x14ac:dyDescent="0.2">
      <c r="A543" s="344" t="s">
        <v>234</v>
      </c>
      <c r="B543" s="345"/>
      <c r="C543" s="345"/>
      <c r="D543" s="345"/>
      <c r="E543" s="345"/>
      <c r="F543" s="345"/>
      <c r="G543" s="345"/>
      <c r="H543" s="345"/>
      <c r="I543" s="345"/>
    </row>
    <row r="544" spans="1:17" hidden="1" x14ac:dyDescent="0.2">
      <c r="A544" s="346" t="s">
        <v>235</v>
      </c>
      <c r="B544" s="347"/>
      <c r="C544" s="347"/>
      <c r="D544" s="347"/>
      <c r="E544" s="347"/>
      <c r="F544" s="347"/>
      <c r="G544" s="347"/>
      <c r="H544" s="347"/>
      <c r="I544" s="347"/>
      <c r="J544" s="347"/>
      <c r="K544" s="347"/>
      <c r="L544" s="347"/>
      <c r="M544" s="347"/>
      <c r="N544" s="347"/>
      <c r="O544" s="347"/>
    </row>
    <row r="545" spans="1:18" hidden="1" x14ac:dyDescent="0.2">
      <c r="A545" s="267" t="s">
        <v>227</v>
      </c>
    </row>
    <row r="546" spans="1:18" hidden="1" x14ac:dyDescent="0.2"/>
    <row r="547" spans="1:18" hidden="1" x14ac:dyDescent="0.2">
      <c r="A547" s="274" t="s">
        <v>236</v>
      </c>
      <c r="B547" s="275"/>
      <c r="C547" s="275"/>
      <c r="D547" s="275"/>
      <c r="E547" s="275"/>
      <c r="F547" s="275"/>
      <c r="G547" s="275"/>
      <c r="H547" s="275"/>
      <c r="I547" s="275"/>
      <c r="J547" s="275"/>
      <c r="K547" s="275"/>
      <c r="L547" s="275"/>
      <c r="M547" s="275"/>
      <c r="N547" s="275"/>
      <c r="O547" s="275"/>
      <c r="P547" s="275"/>
      <c r="Q547" s="275"/>
      <c r="R547" s="275"/>
    </row>
    <row r="548" spans="1:18" hidden="1" x14ac:dyDescent="0.2">
      <c r="A548" s="275" t="s">
        <v>117</v>
      </c>
      <c r="B548" s="275"/>
      <c r="C548" s="275">
        <v>8</v>
      </c>
      <c r="D548" s="275" t="s">
        <v>63</v>
      </c>
      <c r="E548" s="275"/>
      <c r="F548" s="275"/>
      <c r="G548" s="275"/>
      <c r="H548" s="275"/>
      <c r="I548" s="275"/>
      <c r="J548" s="275"/>
      <c r="K548" s="275"/>
      <c r="L548" s="275"/>
      <c r="M548" s="275"/>
      <c r="N548" s="275"/>
      <c r="O548" s="275"/>
      <c r="P548" s="275"/>
      <c r="Q548" s="275"/>
      <c r="R548" s="275"/>
    </row>
    <row r="549" spans="1:18" hidden="1" x14ac:dyDescent="0.2">
      <c r="A549" s="275" t="s">
        <v>124</v>
      </c>
      <c r="B549" s="275"/>
      <c r="C549" s="275">
        <f>C548/C550</f>
        <v>8.0000000000000002E-3</v>
      </c>
      <c r="D549" s="275" t="s">
        <v>125</v>
      </c>
      <c r="E549" s="275"/>
      <c r="F549" s="275"/>
      <c r="G549" s="275"/>
      <c r="H549" s="275"/>
      <c r="I549" s="275"/>
      <c r="J549" s="275"/>
      <c r="K549" s="275"/>
      <c r="L549" s="275"/>
      <c r="M549" s="275"/>
      <c r="N549" s="275"/>
      <c r="O549" s="275"/>
      <c r="P549" s="275"/>
      <c r="Q549" s="275"/>
      <c r="R549" s="275"/>
    </row>
    <row r="550" spans="1:18" ht="13.5" hidden="1" thickBot="1" x14ac:dyDescent="0.25">
      <c r="A550" s="275" t="s">
        <v>126</v>
      </c>
      <c r="B550" s="275"/>
      <c r="C550" s="275">
        <v>1000</v>
      </c>
      <c r="D550" s="275" t="s">
        <v>127</v>
      </c>
      <c r="E550" s="275"/>
      <c r="F550" s="275"/>
      <c r="G550" s="275"/>
      <c r="H550" s="275"/>
      <c r="I550" s="275"/>
      <c r="J550" s="275"/>
      <c r="K550" s="275"/>
      <c r="L550" s="275"/>
      <c r="M550" s="275"/>
      <c r="N550" s="275"/>
      <c r="O550" s="275"/>
      <c r="P550" s="275"/>
      <c r="Q550" s="275"/>
      <c r="R550" s="275"/>
    </row>
    <row r="551" spans="1:18" ht="51.75" hidden="1" thickBot="1" x14ac:dyDescent="0.25">
      <c r="A551" s="282" t="s">
        <v>128</v>
      </c>
      <c r="B551" s="283" t="s">
        <v>19</v>
      </c>
      <c r="C551" s="348" t="s">
        <v>129</v>
      </c>
      <c r="D551" s="287" t="s">
        <v>237</v>
      </c>
      <c r="E551" s="286" t="s">
        <v>136</v>
      </c>
      <c r="F551" s="289" t="s">
        <v>137</v>
      </c>
    </row>
    <row r="552" spans="1:18" hidden="1" x14ac:dyDescent="0.2">
      <c r="A552" s="618" t="s">
        <v>238</v>
      </c>
      <c r="B552" s="349" t="s">
        <v>143</v>
      </c>
      <c r="C552" s="226">
        <v>2.1299999999999999E-3</v>
      </c>
      <c r="D552" s="226">
        <f t="shared" ref="D552:D595" si="73">C552*$C$549</f>
        <v>1.7039999999999999E-5</v>
      </c>
      <c r="E552" s="226">
        <f>D552*8760/2000</f>
        <v>7.4635199999999993E-5</v>
      </c>
      <c r="F552" s="298">
        <f>E552</f>
        <v>7.4635199999999993E-5</v>
      </c>
    </row>
    <row r="553" spans="1:18" hidden="1" x14ac:dyDescent="0.2">
      <c r="A553" s="619"/>
      <c r="B553" s="349" t="s">
        <v>150</v>
      </c>
      <c r="C553" s="226">
        <v>1.1999999999999999E-3</v>
      </c>
      <c r="D553" s="226">
        <f t="shared" si="73"/>
        <v>9.5999999999999996E-6</v>
      </c>
      <c r="E553" s="226">
        <f t="shared" ref="E553:E595" si="74">D553*8760/2000</f>
        <v>4.2047999999999995E-5</v>
      </c>
      <c r="F553" s="298">
        <f t="shared" ref="F553:F595" si="75">E553</f>
        <v>4.2047999999999995E-5</v>
      </c>
    </row>
    <row r="554" spans="1:18" hidden="1" x14ac:dyDescent="0.2">
      <c r="A554" s="619"/>
      <c r="B554" s="350" t="s">
        <v>154</v>
      </c>
      <c r="C554" s="226">
        <v>7.4999999999999997E-2</v>
      </c>
      <c r="D554" s="226">
        <f t="shared" si="73"/>
        <v>5.9999999999999995E-4</v>
      </c>
      <c r="E554" s="226">
        <f t="shared" si="74"/>
        <v>2.6279999999999997E-3</v>
      </c>
      <c r="F554" s="298">
        <f t="shared" si="75"/>
        <v>2.6279999999999997E-3</v>
      </c>
    </row>
    <row r="555" spans="1:18" hidden="1" x14ac:dyDescent="0.2">
      <c r="A555" s="619"/>
      <c r="B555" s="350" t="s">
        <v>155</v>
      </c>
      <c r="C555" s="226">
        <v>1.8</v>
      </c>
      <c r="D555" s="226">
        <f t="shared" si="73"/>
        <v>1.4400000000000001E-2</v>
      </c>
      <c r="E555" s="226">
        <f t="shared" si="74"/>
        <v>6.3072000000000003E-2</v>
      </c>
      <c r="F555" s="298">
        <f t="shared" si="75"/>
        <v>6.3072000000000003E-2</v>
      </c>
    </row>
    <row r="556" spans="1:18" hidden="1" x14ac:dyDescent="0.2">
      <c r="A556" s="619"/>
      <c r="B556" s="350" t="s">
        <v>239</v>
      </c>
      <c r="C556" s="226">
        <v>6.0999999999999997E-4</v>
      </c>
      <c r="D556" s="226">
        <f t="shared" si="73"/>
        <v>4.8799999999999999E-6</v>
      </c>
      <c r="E556" s="226">
        <f t="shared" si="74"/>
        <v>2.13744E-5</v>
      </c>
      <c r="F556" s="298">
        <f t="shared" si="75"/>
        <v>2.13744E-5</v>
      </c>
    </row>
    <row r="557" spans="1:18" hidden="1" x14ac:dyDescent="0.2">
      <c r="A557" s="619"/>
      <c r="B557" s="350" t="s">
        <v>160</v>
      </c>
      <c r="C557" s="226">
        <v>3.3999999999999998E-3</v>
      </c>
      <c r="D557" s="226">
        <f t="shared" si="73"/>
        <v>2.72E-5</v>
      </c>
      <c r="E557" s="226">
        <f t="shared" si="74"/>
        <v>1.1913600000000001E-4</v>
      </c>
      <c r="F557" s="298">
        <f t="shared" si="75"/>
        <v>1.1913600000000001E-4</v>
      </c>
    </row>
    <row r="558" spans="1:18" hidden="1" x14ac:dyDescent="0.2">
      <c r="A558" s="619"/>
      <c r="B558" s="350" t="s">
        <v>139</v>
      </c>
      <c r="C558" s="226">
        <v>1.7999999999999999E-6</v>
      </c>
      <c r="D558" s="226">
        <f t="shared" si="73"/>
        <v>1.44E-8</v>
      </c>
      <c r="E558" s="226">
        <f t="shared" si="74"/>
        <v>6.3071999999999997E-8</v>
      </c>
      <c r="F558" s="298">
        <f t="shared" si="75"/>
        <v>6.3071999999999997E-8</v>
      </c>
    </row>
    <row r="559" spans="1:18" hidden="1" x14ac:dyDescent="0.2">
      <c r="A559" s="619"/>
      <c r="B559" s="350" t="s">
        <v>140</v>
      </c>
      <c r="C559" s="226">
        <v>1.7999999999999999E-6</v>
      </c>
      <c r="D559" s="226">
        <f t="shared" si="73"/>
        <v>1.44E-8</v>
      </c>
      <c r="E559" s="226">
        <f t="shared" si="74"/>
        <v>6.3071999999999997E-8</v>
      </c>
      <c r="F559" s="298">
        <f t="shared" si="75"/>
        <v>6.3071999999999997E-8</v>
      </c>
    </row>
    <row r="560" spans="1:18" hidden="1" x14ac:dyDescent="0.2">
      <c r="A560" s="619"/>
      <c r="B560" s="350" t="s">
        <v>141</v>
      </c>
      <c r="C560" s="226">
        <v>2.3999999999999999E-6</v>
      </c>
      <c r="D560" s="226">
        <f t="shared" si="73"/>
        <v>1.92E-8</v>
      </c>
      <c r="E560" s="226">
        <f t="shared" si="74"/>
        <v>8.4096000000000001E-8</v>
      </c>
      <c r="F560" s="298">
        <f t="shared" si="75"/>
        <v>8.4096000000000001E-8</v>
      </c>
    </row>
    <row r="561" spans="1:6" hidden="1" x14ac:dyDescent="0.2">
      <c r="A561" s="619"/>
      <c r="B561" s="350" t="s">
        <v>240</v>
      </c>
      <c r="C561" s="226">
        <v>1.7999999999999999E-6</v>
      </c>
      <c r="D561" s="226">
        <f t="shared" si="73"/>
        <v>1.44E-8</v>
      </c>
      <c r="E561" s="226">
        <f t="shared" si="74"/>
        <v>6.3071999999999997E-8</v>
      </c>
      <c r="F561" s="298">
        <f t="shared" si="75"/>
        <v>6.3071999999999997E-8</v>
      </c>
    </row>
    <row r="562" spans="1:6" hidden="1" x14ac:dyDescent="0.2">
      <c r="A562" s="619"/>
      <c r="B562" s="350" t="s">
        <v>144</v>
      </c>
      <c r="C562" s="226">
        <v>1.1999999999999999E-6</v>
      </c>
      <c r="D562" s="226">
        <f t="shared" si="73"/>
        <v>9.5999999999999999E-9</v>
      </c>
      <c r="E562" s="226">
        <f t="shared" si="74"/>
        <v>4.2048E-8</v>
      </c>
      <c r="F562" s="298">
        <f t="shared" si="75"/>
        <v>4.2048E-8</v>
      </c>
    </row>
    <row r="563" spans="1:6" hidden="1" x14ac:dyDescent="0.2">
      <c r="A563" s="619"/>
      <c r="B563" s="350" t="s">
        <v>241</v>
      </c>
      <c r="C563" s="226">
        <v>1.7999999999999999E-6</v>
      </c>
      <c r="D563" s="226">
        <f t="shared" si="73"/>
        <v>1.44E-8</v>
      </c>
      <c r="E563" s="226">
        <f t="shared" si="74"/>
        <v>6.3071999999999997E-8</v>
      </c>
      <c r="F563" s="298">
        <f t="shared" si="75"/>
        <v>6.3071999999999997E-8</v>
      </c>
    </row>
    <row r="564" spans="1:6" hidden="1" x14ac:dyDescent="0.2">
      <c r="A564" s="619"/>
      <c r="B564" s="350" t="s">
        <v>146</v>
      </c>
      <c r="C564" s="226">
        <v>1.1999999999999999E-6</v>
      </c>
      <c r="D564" s="226">
        <f t="shared" si="73"/>
        <v>9.5999999999999999E-9</v>
      </c>
      <c r="E564" s="226">
        <f t="shared" si="74"/>
        <v>4.2048E-8</v>
      </c>
      <c r="F564" s="298">
        <f t="shared" si="75"/>
        <v>4.2048E-8</v>
      </c>
    </row>
    <row r="565" spans="1:6" hidden="1" x14ac:dyDescent="0.2">
      <c r="A565" s="619"/>
      <c r="B565" s="350" t="s">
        <v>148</v>
      </c>
      <c r="C565" s="226">
        <v>1.7999999999999999E-6</v>
      </c>
      <c r="D565" s="226">
        <f t="shared" si="73"/>
        <v>1.44E-8</v>
      </c>
      <c r="E565" s="226">
        <f t="shared" si="74"/>
        <v>6.3071999999999997E-8</v>
      </c>
      <c r="F565" s="298">
        <f t="shared" si="75"/>
        <v>6.3071999999999997E-8</v>
      </c>
    </row>
    <row r="566" spans="1:6" hidden="1" x14ac:dyDescent="0.2">
      <c r="A566" s="619"/>
      <c r="B566" s="350" t="s">
        <v>149</v>
      </c>
      <c r="C566" s="226">
        <v>1.1999999999999999E-6</v>
      </c>
      <c r="D566" s="226">
        <f t="shared" si="73"/>
        <v>9.5999999999999999E-9</v>
      </c>
      <c r="E566" s="226">
        <f t="shared" si="74"/>
        <v>4.2048E-8</v>
      </c>
      <c r="F566" s="298">
        <f t="shared" si="75"/>
        <v>4.2048E-8</v>
      </c>
    </row>
    <row r="567" spans="1:6" hidden="1" x14ac:dyDescent="0.2">
      <c r="A567" s="619"/>
      <c r="B567" s="350" t="s">
        <v>242</v>
      </c>
      <c r="C567" s="226">
        <v>1.5999999999999999E-5</v>
      </c>
      <c r="D567" s="226">
        <f t="shared" si="73"/>
        <v>1.2800000000000001E-7</v>
      </c>
      <c r="E567" s="226">
        <f t="shared" si="74"/>
        <v>5.6064000000000002E-7</v>
      </c>
      <c r="F567" s="298">
        <f t="shared" si="75"/>
        <v>5.6064000000000002E-7</v>
      </c>
    </row>
    <row r="568" spans="1:6" hidden="1" x14ac:dyDescent="0.2">
      <c r="A568" s="619"/>
      <c r="B568" s="350" t="s">
        <v>152</v>
      </c>
      <c r="C568" s="226">
        <v>3.0000000000000001E-6</v>
      </c>
      <c r="D568" s="226">
        <f t="shared" si="73"/>
        <v>2.4E-8</v>
      </c>
      <c r="E568" s="226">
        <f t="shared" si="74"/>
        <v>1.0511999999999999E-7</v>
      </c>
      <c r="F568" s="298">
        <f t="shared" si="75"/>
        <v>1.0511999999999999E-7</v>
      </c>
    </row>
    <row r="569" spans="1:6" hidden="1" x14ac:dyDescent="0.2">
      <c r="A569" s="619"/>
      <c r="B569" s="350" t="s">
        <v>153</v>
      </c>
      <c r="C569" s="226">
        <v>2.7999999999999999E-6</v>
      </c>
      <c r="D569" s="226">
        <f t="shared" si="73"/>
        <v>2.2399999999999999E-8</v>
      </c>
      <c r="E569" s="226">
        <f t="shared" si="74"/>
        <v>9.8111999999999999E-8</v>
      </c>
      <c r="F569" s="298">
        <f t="shared" si="75"/>
        <v>9.8111999999999999E-8</v>
      </c>
    </row>
    <row r="570" spans="1:6" hidden="1" x14ac:dyDescent="0.2">
      <c r="A570" s="619"/>
      <c r="B570" s="350" t="s">
        <v>243</v>
      </c>
      <c r="C570" s="226">
        <v>1.7999999999999999E-6</v>
      </c>
      <c r="D570" s="226">
        <f t="shared" si="73"/>
        <v>1.44E-8</v>
      </c>
      <c r="E570" s="226">
        <f t="shared" si="74"/>
        <v>6.3071999999999997E-8</v>
      </c>
      <c r="F570" s="298">
        <f t="shared" si="75"/>
        <v>6.3071999999999997E-8</v>
      </c>
    </row>
    <row r="571" spans="1:6" hidden="1" x14ac:dyDescent="0.2">
      <c r="A571" s="619"/>
      <c r="B571" s="350" t="s">
        <v>244</v>
      </c>
      <c r="C571" s="226">
        <v>2.4000000000000001E-5</v>
      </c>
      <c r="D571" s="226">
        <f t="shared" si="73"/>
        <v>1.92E-7</v>
      </c>
      <c r="E571" s="226">
        <f t="shared" si="74"/>
        <v>8.4095999999999993E-7</v>
      </c>
      <c r="F571" s="298">
        <f t="shared" si="75"/>
        <v>8.4095999999999993E-7</v>
      </c>
    </row>
    <row r="572" spans="1:6" hidden="1" x14ac:dyDescent="0.2">
      <c r="A572" s="619"/>
      <c r="B572" s="350" t="s">
        <v>245</v>
      </c>
      <c r="C572" s="226">
        <v>1.7999999999999999E-6</v>
      </c>
      <c r="D572" s="226">
        <f t="shared" si="73"/>
        <v>1.44E-8</v>
      </c>
      <c r="E572" s="226">
        <f t="shared" si="74"/>
        <v>6.3071999999999997E-8</v>
      </c>
      <c r="F572" s="298">
        <f t="shared" si="75"/>
        <v>6.3071999999999997E-8</v>
      </c>
    </row>
    <row r="573" spans="1:6" hidden="1" x14ac:dyDescent="0.2">
      <c r="A573" s="619"/>
      <c r="B573" s="350" t="s">
        <v>158</v>
      </c>
      <c r="C573" s="226">
        <v>1.7E-5</v>
      </c>
      <c r="D573" s="226">
        <f t="shared" si="73"/>
        <v>1.36E-7</v>
      </c>
      <c r="E573" s="226">
        <f t="shared" si="74"/>
        <v>5.9568000000000005E-7</v>
      </c>
      <c r="F573" s="298">
        <f t="shared" si="75"/>
        <v>5.9568000000000005E-7</v>
      </c>
    </row>
    <row r="574" spans="1:6" hidden="1" x14ac:dyDescent="0.2">
      <c r="A574" s="619"/>
      <c r="B574" s="350" t="s">
        <v>159</v>
      </c>
      <c r="C574" s="226">
        <v>5.0000000000000004E-6</v>
      </c>
      <c r="D574" s="226">
        <f t="shared" si="73"/>
        <v>4.0000000000000001E-8</v>
      </c>
      <c r="E574" s="226">
        <f t="shared" si="74"/>
        <v>1.7520000000000001E-7</v>
      </c>
      <c r="F574" s="298">
        <f t="shared" si="75"/>
        <v>1.7520000000000001E-7</v>
      </c>
    </row>
    <row r="575" spans="1:6" hidden="1" x14ac:dyDescent="0.2">
      <c r="A575" s="619"/>
      <c r="B575" s="350" t="s">
        <v>163</v>
      </c>
      <c r="C575" s="226">
        <v>2.0000000000000001E-4</v>
      </c>
      <c r="D575" s="226">
        <f t="shared" si="73"/>
        <v>1.6000000000000001E-6</v>
      </c>
      <c r="E575" s="226">
        <f t="shared" si="74"/>
        <v>7.0080000000000005E-6</v>
      </c>
      <c r="F575" s="298">
        <f t="shared" si="75"/>
        <v>7.0080000000000005E-6</v>
      </c>
    </row>
    <row r="576" spans="1:6" hidden="1" x14ac:dyDescent="0.2">
      <c r="A576" s="619"/>
      <c r="B576" s="350" t="s">
        <v>164</v>
      </c>
      <c r="C576" s="226">
        <v>1.2E-5</v>
      </c>
      <c r="D576" s="226">
        <f t="shared" si="73"/>
        <v>9.5999999999999999E-8</v>
      </c>
      <c r="E576" s="226">
        <f t="shared" si="74"/>
        <v>4.2047999999999996E-7</v>
      </c>
      <c r="F576" s="298">
        <f t="shared" si="75"/>
        <v>4.2047999999999996E-7</v>
      </c>
    </row>
    <row r="577" spans="1:18" hidden="1" x14ac:dyDescent="0.2">
      <c r="A577" s="619"/>
      <c r="B577" s="350" t="s">
        <v>165</v>
      </c>
      <c r="C577" s="226">
        <v>1.1000000000000001E-3</v>
      </c>
      <c r="D577" s="226">
        <f t="shared" si="73"/>
        <v>8.8000000000000004E-6</v>
      </c>
      <c r="E577" s="226">
        <f t="shared" si="74"/>
        <v>3.8544000000000002E-5</v>
      </c>
      <c r="F577" s="298">
        <f t="shared" si="75"/>
        <v>3.8544000000000002E-5</v>
      </c>
    </row>
    <row r="578" spans="1:18" hidden="1" x14ac:dyDescent="0.2">
      <c r="A578" s="619"/>
      <c r="B578" s="350" t="s">
        <v>166</v>
      </c>
      <c r="C578" s="226">
        <v>1.4E-3</v>
      </c>
      <c r="D578" s="226">
        <f t="shared" si="73"/>
        <v>1.1199999999999999E-5</v>
      </c>
      <c r="E578" s="226">
        <f t="shared" si="74"/>
        <v>4.9055999999999992E-5</v>
      </c>
      <c r="F578" s="298">
        <f t="shared" si="75"/>
        <v>4.9055999999999992E-5</v>
      </c>
    </row>
    <row r="579" spans="1:18" hidden="1" x14ac:dyDescent="0.2">
      <c r="A579" s="619"/>
      <c r="B579" s="350" t="s">
        <v>167</v>
      </c>
      <c r="C579" s="226">
        <v>8.3999999999999995E-5</v>
      </c>
      <c r="D579" s="226">
        <f t="shared" si="73"/>
        <v>6.7199999999999998E-7</v>
      </c>
      <c r="E579" s="226">
        <f t="shared" si="74"/>
        <v>2.9433599999999998E-6</v>
      </c>
      <c r="F579" s="298">
        <f t="shared" si="75"/>
        <v>2.9433599999999998E-6</v>
      </c>
    </row>
    <row r="580" spans="1:18" hidden="1" x14ac:dyDescent="0.2">
      <c r="A580" s="619"/>
      <c r="B580" s="350" t="s">
        <v>168</v>
      </c>
      <c r="C580" s="226">
        <v>3.8000000000000002E-4</v>
      </c>
      <c r="D580" s="226">
        <f t="shared" si="73"/>
        <v>3.0400000000000001E-6</v>
      </c>
      <c r="E580" s="226">
        <f t="shared" si="74"/>
        <v>1.3315200000000001E-5</v>
      </c>
      <c r="F580" s="298">
        <f t="shared" si="75"/>
        <v>1.3315200000000001E-5</v>
      </c>
      <c r="H580" s="275"/>
    </row>
    <row r="581" spans="1:18" hidden="1" x14ac:dyDescent="0.2">
      <c r="A581" s="619"/>
      <c r="B581" s="350" t="s">
        <v>169</v>
      </c>
      <c r="C581" s="230">
        <v>2.5999999999999998E-4</v>
      </c>
      <c r="D581" s="230">
        <f t="shared" si="73"/>
        <v>2.08E-6</v>
      </c>
      <c r="E581" s="230">
        <f t="shared" si="74"/>
        <v>9.1104000000000001E-6</v>
      </c>
      <c r="F581" s="351">
        <f t="shared" si="75"/>
        <v>9.1104000000000001E-6</v>
      </c>
      <c r="G581" s="275"/>
      <c r="H581" s="302"/>
      <c r="I581" s="276"/>
      <c r="J581" s="275"/>
      <c r="K581" s="275"/>
      <c r="L581" s="275"/>
      <c r="M581" s="275"/>
      <c r="N581" s="275"/>
      <c r="O581" s="275"/>
      <c r="P581" s="275"/>
      <c r="Q581" s="275"/>
      <c r="R581" s="275"/>
    </row>
    <row r="582" spans="1:18" hidden="1" x14ac:dyDescent="0.2">
      <c r="A582" s="619"/>
      <c r="B582" s="350" t="s">
        <v>170</v>
      </c>
      <c r="C582" s="226">
        <v>2.0999999999999999E-3</v>
      </c>
      <c r="D582" s="226">
        <f t="shared" si="73"/>
        <v>1.6799999999999998E-5</v>
      </c>
      <c r="E582" s="226">
        <f t="shared" si="74"/>
        <v>7.3583999999999992E-5</v>
      </c>
      <c r="F582" s="298">
        <f t="shared" si="75"/>
        <v>7.3583999999999992E-5</v>
      </c>
    </row>
    <row r="583" spans="1:18" hidden="1" x14ac:dyDescent="0.2">
      <c r="A583" s="619"/>
      <c r="B583" s="350" t="s">
        <v>171</v>
      </c>
      <c r="C583" s="226">
        <v>2.4000000000000001E-5</v>
      </c>
      <c r="D583" s="226">
        <f t="shared" si="73"/>
        <v>1.92E-7</v>
      </c>
      <c r="E583" s="226">
        <f t="shared" si="74"/>
        <v>8.4095999999999993E-7</v>
      </c>
      <c r="F583" s="298">
        <f t="shared" si="75"/>
        <v>8.4095999999999993E-7</v>
      </c>
    </row>
    <row r="584" spans="1:18" hidden="1" x14ac:dyDescent="0.2">
      <c r="A584" s="619"/>
      <c r="B584" s="352" t="s">
        <v>172</v>
      </c>
      <c r="C584" s="226"/>
      <c r="D584" s="226">
        <f>SUM(D552:D583)</f>
        <v>1.5103891199999995E-2</v>
      </c>
      <c r="E584" s="226">
        <f>SUM(E552:E583)</f>
        <v>6.6155043455999971E-2</v>
      </c>
      <c r="F584" s="353">
        <f>SUM(F552:F583)</f>
        <v>6.6155043455999971E-2</v>
      </c>
    </row>
    <row r="585" spans="1:18" hidden="1" x14ac:dyDescent="0.2">
      <c r="A585" s="619"/>
      <c r="B585" s="352" t="s">
        <v>173</v>
      </c>
      <c r="C585" s="226">
        <v>5.0000000000000001E-4</v>
      </c>
      <c r="D585" s="226">
        <f t="shared" si="73"/>
        <v>3.9999999999999998E-6</v>
      </c>
      <c r="E585" s="226">
        <f t="shared" si="74"/>
        <v>1.7520000000000002E-5</v>
      </c>
      <c r="F585" s="353">
        <f t="shared" si="75"/>
        <v>1.7520000000000002E-5</v>
      </c>
    </row>
    <row r="586" spans="1:18" hidden="1" x14ac:dyDescent="0.2">
      <c r="A586" s="619"/>
      <c r="B586" s="352" t="s">
        <v>174</v>
      </c>
      <c r="C586" s="226">
        <v>7.6</v>
      </c>
      <c r="D586" s="310">
        <f t="shared" si="73"/>
        <v>6.08E-2</v>
      </c>
      <c r="E586" s="310">
        <f t="shared" si="74"/>
        <v>0.26630399999999999</v>
      </c>
      <c r="F586" s="334">
        <f t="shared" si="75"/>
        <v>0.26630399999999999</v>
      </c>
    </row>
    <row r="587" spans="1:18" hidden="1" x14ac:dyDescent="0.2">
      <c r="A587" s="619"/>
      <c r="B587" s="352" t="s">
        <v>175</v>
      </c>
      <c r="C587" s="226">
        <v>7.6</v>
      </c>
      <c r="D587" s="310">
        <f t="shared" si="73"/>
        <v>6.08E-2</v>
      </c>
      <c r="E587" s="310">
        <f t="shared" si="74"/>
        <v>0.26630399999999999</v>
      </c>
      <c r="F587" s="334">
        <f t="shared" si="75"/>
        <v>0.26630399999999999</v>
      </c>
    </row>
    <row r="588" spans="1:18" hidden="1" x14ac:dyDescent="0.2">
      <c r="A588" s="619"/>
      <c r="B588" s="352" t="s">
        <v>176</v>
      </c>
      <c r="C588" s="226">
        <v>7.6</v>
      </c>
      <c r="D588" s="310">
        <f t="shared" si="73"/>
        <v>6.08E-2</v>
      </c>
      <c r="E588" s="310">
        <f t="shared" si="74"/>
        <v>0.26630399999999999</v>
      </c>
      <c r="F588" s="334">
        <f t="shared" si="75"/>
        <v>0.26630399999999999</v>
      </c>
    </row>
    <row r="589" spans="1:18" hidden="1" x14ac:dyDescent="0.2">
      <c r="A589" s="619"/>
      <c r="B589" s="352" t="s">
        <v>177</v>
      </c>
      <c r="C589" s="226">
        <v>0.6</v>
      </c>
      <c r="D589" s="354">
        <f t="shared" si="73"/>
        <v>4.7999999999999996E-3</v>
      </c>
      <c r="E589" s="310">
        <f t="shared" si="74"/>
        <v>2.1023999999999998E-2</v>
      </c>
      <c r="F589" s="334">
        <f t="shared" si="75"/>
        <v>2.1023999999999998E-2</v>
      </c>
    </row>
    <row r="590" spans="1:18" hidden="1" x14ac:dyDescent="0.2">
      <c r="A590" s="619"/>
      <c r="B590" s="352" t="s">
        <v>178</v>
      </c>
      <c r="C590" s="226">
        <v>100</v>
      </c>
      <c r="D590" s="310">
        <f t="shared" si="73"/>
        <v>0.8</v>
      </c>
      <c r="E590" s="310">
        <f t="shared" si="74"/>
        <v>3.504</v>
      </c>
      <c r="F590" s="334">
        <f t="shared" si="75"/>
        <v>3.504</v>
      </c>
    </row>
    <row r="591" spans="1:18" hidden="1" x14ac:dyDescent="0.2">
      <c r="A591" s="619"/>
      <c r="B591" s="352" t="s">
        <v>179</v>
      </c>
      <c r="C591" s="226">
        <v>5.5</v>
      </c>
      <c r="D591" s="310">
        <f t="shared" si="73"/>
        <v>4.3999999999999997E-2</v>
      </c>
      <c r="E591" s="310">
        <f t="shared" si="74"/>
        <v>0.19272</v>
      </c>
      <c r="F591" s="334">
        <f t="shared" si="75"/>
        <v>0.19272</v>
      </c>
    </row>
    <row r="592" spans="1:18" ht="13.5" hidden="1" thickBot="1" x14ac:dyDescent="0.25">
      <c r="A592" s="619"/>
      <c r="B592" s="355" t="s">
        <v>180</v>
      </c>
      <c r="C592" s="313">
        <v>84</v>
      </c>
      <c r="D592" s="356">
        <f t="shared" si="73"/>
        <v>0.67200000000000004</v>
      </c>
      <c r="E592" s="356">
        <f t="shared" si="74"/>
        <v>2.9433600000000002</v>
      </c>
      <c r="F592" s="357">
        <f t="shared" si="75"/>
        <v>2.9433600000000002</v>
      </c>
    </row>
    <row r="593" spans="1:6" hidden="1" x14ac:dyDescent="0.2">
      <c r="A593" s="619"/>
      <c r="B593" s="317" t="s">
        <v>181</v>
      </c>
      <c r="C593" s="318">
        <v>120000</v>
      </c>
      <c r="D593" s="318">
        <f t="shared" si="73"/>
        <v>960</v>
      </c>
      <c r="E593" s="358">
        <f t="shared" si="74"/>
        <v>4204.8</v>
      </c>
      <c r="F593" s="359">
        <f t="shared" si="75"/>
        <v>4204.8</v>
      </c>
    </row>
    <row r="594" spans="1:6" hidden="1" x14ac:dyDescent="0.2">
      <c r="A594" s="619"/>
      <c r="B594" s="322" t="s">
        <v>182</v>
      </c>
      <c r="C594" s="226">
        <v>2.2999999999999998</v>
      </c>
      <c r="D594" s="360">
        <f t="shared" si="73"/>
        <v>1.84E-2</v>
      </c>
      <c r="E594" s="361">
        <f t="shared" si="74"/>
        <v>8.0591999999999997E-2</v>
      </c>
      <c r="F594" s="362">
        <f t="shared" si="75"/>
        <v>8.0591999999999997E-2</v>
      </c>
    </row>
    <row r="595" spans="1:6" hidden="1" x14ac:dyDescent="0.2">
      <c r="A595" s="619"/>
      <c r="B595" s="322" t="s">
        <v>183</v>
      </c>
      <c r="C595" s="226">
        <v>2.2000000000000002</v>
      </c>
      <c r="D595" s="360">
        <f t="shared" si="73"/>
        <v>1.7600000000000001E-2</v>
      </c>
      <c r="E595" s="361">
        <f t="shared" si="74"/>
        <v>7.7088000000000004E-2</v>
      </c>
      <c r="F595" s="362">
        <f t="shared" si="75"/>
        <v>7.7088000000000004E-2</v>
      </c>
    </row>
    <row r="596" spans="1:6" hidden="1" x14ac:dyDescent="0.2">
      <c r="A596" s="619"/>
      <c r="B596" s="322" t="s">
        <v>184</v>
      </c>
      <c r="C596" s="258"/>
      <c r="D596" s="258">
        <f>SUM(D593:D595)</f>
        <v>960.03600000000006</v>
      </c>
      <c r="E596" s="363">
        <f>SUM(E593:E595)</f>
        <v>4204.9576800000004</v>
      </c>
      <c r="F596" s="364">
        <f>SUM(F593:F595)</f>
        <v>4204.9576800000004</v>
      </c>
    </row>
    <row r="597" spans="1:6" ht="13.5" hidden="1" thickBot="1" x14ac:dyDescent="0.25">
      <c r="A597" s="620"/>
      <c r="B597" s="325" t="s">
        <v>185</v>
      </c>
      <c r="C597" s="365"/>
      <c r="D597" s="327">
        <f>D593+(D594*21)+(D595*310)</f>
        <v>965.8424</v>
      </c>
      <c r="E597" s="366">
        <f>E593+(E594*21)+(E595*310)</f>
        <v>4230.3897120000001</v>
      </c>
      <c r="F597" s="367">
        <f>F593+(F594*21)+(F595*310)</f>
        <v>4230.3897120000001</v>
      </c>
    </row>
    <row r="598" spans="1:6" x14ac:dyDescent="0.2">
      <c r="C598" s="275"/>
      <c r="F598" s="275"/>
    </row>
    <row r="599" spans="1:6" x14ac:dyDescent="0.2">
      <c r="C599" s="275"/>
    </row>
    <row r="600" spans="1:6" x14ac:dyDescent="0.2">
      <c r="C600" s="275"/>
    </row>
    <row r="601" spans="1:6" x14ac:dyDescent="0.2">
      <c r="C601" s="275"/>
    </row>
  </sheetData>
  <mergeCells count="15">
    <mergeCell ref="A402:A465"/>
    <mergeCell ref="A476:A539"/>
    <mergeCell ref="A552:A597"/>
    <mergeCell ref="A66:M66"/>
    <mergeCell ref="A72:A123"/>
    <mergeCell ref="A124:M124"/>
    <mergeCell ref="A125:M125"/>
    <mergeCell ref="A126:M126"/>
    <mergeCell ref="A132:A183"/>
    <mergeCell ref="A65:M65"/>
    <mergeCell ref="A1:M1"/>
    <mergeCell ref="A2:M2"/>
    <mergeCell ref="A3:M3"/>
    <mergeCell ref="A11:A62"/>
    <mergeCell ref="A64:M64"/>
  </mergeCells>
  <printOptions horizontalCentered="1" gridLines="1" gridLinesSet="0"/>
  <pageMargins left="0.4" right="0.4" top="1" bottom="1" header="0.5" footer="0.5"/>
  <pageSetup scale="57" fitToHeight="3" orientation="portrait" horizontalDpi="1200" verticalDpi="1200" r:id="rId1"/>
  <headerFooter alignWithMargins="0"/>
  <rowBreaks count="2" manualBreakCount="2">
    <brk id="63" max="12" man="1"/>
    <brk id="123" max="12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1"/>
  <sheetViews>
    <sheetView view="pageBreakPreview" topLeftCell="A8" zoomScale="90" zoomScaleNormal="100" zoomScaleSheetLayoutView="90" workbookViewId="0">
      <selection activeCell="W28" sqref="W28"/>
    </sheetView>
  </sheetViews>
  <sheetFormatPr defaultRowHeight="12.75" x14ac:dyDescent="0.2"/>
  <cols>
    <col min="1" max="1" width="11.42578125" customWidth="1"/>
    <col min="2" max="2" width="30.140625" customWidth="1"/>
    <col min="3" max="3" width="11.28515625" customWidth="1"/>
    <col min="4" max="4" width="12.7109375" bestFit="1" customWidth="1"/>
    <col min="5" max="5" width="12.42578125" customWidth="1"/>
    <col min="6" max="6" width="12.28515625" customWidth="1"/>
    <col min="7" max="7" width="12.7109375" bestFit="1" customWidth="1"/>
    <col min="8" max="8" width="13.5703125" bestFit="1" customWidth="1"/>
    <col min="9" max="9" width="10.5703125" bestFit="1" customWidth="1"/>
    <col min="10" max="10" width="11.7109375" bestFit="1" customWidth="1"/>
    <col min="11" max="11" width="11.85546875" customWidth="1"/>
    <col min="12" max="12" width="13.140625" customWidth="1"/>
    <col min="13" max="13" width="10.7109375" customWidth="1"/>
    <col min="14" max="14" width="12.42578125" bestFit="1" customWidth="1"/>
    <col min="15" max="15" width="12.28515625" customWidth="1"/>
    <col min="16" max="17" width="13" customWidth="1"/>
    <col min="18" max="18" width="13.85546875" customWidth="1"/>
  </cols>
  <sheetData>
    <row r="1" spans="1:20" s="130" customFormat="1" ht="18" x14ac:dyDescent="0.25">
      <c r="A1" s="536" t="s">
        <v>20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20" s="130" customFormat="1" ht="15.75" x14ac:dyDescent="0.25">
      <c r="A2" s="537" t="s">
        <v>68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</row>
    <row r="3" spans="1:20" s="130" customFormat="1" ht="15.75" x14ac:dyDescent="0.25">
      <c r="A3" s="537" t="s">
        <v>269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</row>
    <row r="4" spans="1:20" s="136" customFormat="1" x14ac:dyDescent="0.2">
      <c r="A4" s="165" t="s">
        <v>116</v>
      </c>
      <c r="B4" s="166"/>
    </row>
    <row r="5" spans="1:20" s="136" customFormat="1" x14ac:dyDescent="0.2">
      <c r="A5" s="130" t="s">
        <v>117</v>
      </c>
      <c r="B5" s="130">
        <v>51</v>
      </c>
      <c r="C5" s="130" t="s">
        <v>63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1:20" s="136" customFormat="1" x14ac:dyDescent="0.2">
      <c r="A6" s="130" t="s">
        <v>122</v>
      </c>
      <c r="B6" s="432">
        <f>B5/H6/1000</f>
        <v>0.36427270454626626</v>
      </c>
      <c r="C6" s="130" t="s">
        <v>119</v>
      </c>
      <c r="D6" s="130"/>
      <c r="E6" s="130" t="s">
        <v>123</v>
      </c>
      <c r="F6" s="130"/>
      <c r="G6" s="130"/>
      <c r="H6" s="130">
        <f>140005/1000000</f>
        <v>0.14000499999999999</v>
      </c>
      <c r="I6" s="130" t="s">
        <v>121</v>
      </c>
      <c r="J6" s="130"/>
      <c r="K6" s="130" t="s">
        <v>259</v>
      </c>
      <c r="L6" s="167">
        <f>15/1000000*100</f>
        <v>1.5E-3</v>
      </c>
      <c r="M6" s="130" t="s">
        <v>258</v>
      </c>
      <c r="N6" s="130"/>
      <c r="O6" s="130"/>
      <c r="P6" s="130"/>
      <c r="Q6" s="130"/>
      <c r="R6" s="130"/>
    </row>
    <row r="7" spans="1:20" s="136" customFormat="1" x14ac:dyDescent="0.2">
      <c r="A7" s="130" t="s">
        <v>124</v>
      </c>
      <c r="B7" s="432">
        <f>B5/H7</f>
        <v>0.05</v>
      </c>
      <c r="C7" s="130" t="s">
        <v>125</v>
      </c>
      <c r="D7" s="130"/>
      <c r="E7" s="130" t="s">
        <v>126</v>
      </c>
      <c r="F7" s="130"/>
      <c r="G7" s="130"/>
      <c r="H7" s="130">
        <v>1020</v>
      </c>
      <c r="I7" s="130" t="s">
        <v>127</v>
      </c>
      <c r="J7" s="130"/>
      <c r="K7" s="130"/>
      <c r="L7" s="130"/>
      <c r="M7" s="130"/>
      <c r="N7" s="130"/>
      <c r="O7" s="130"/>
      <c r="P7" s="130"/>
      <c r="Q7" s="130"/>
      <c r="R7" s="130"/>
    </row>
    <row r="8" spans="1:20" s="136" customFormat="1" x14ac:dyDescent="0.2">
      <c r="A8" s="370" t="s">
        <v>314</v>
      </c>
      <c r="B8" s="432">
        <f>B5/H8/1000</f>
        <v>0.55737704918032782</v>
      </c>
      <c r="C8" s="370" t="s">
        <v>119</v>
      </c>
      <c r="D8" s="130"/>
      <c r="E8" s="370" t="s">
        <v>315</v>
      </c>
      <c r="F8" s="130"/>
      <c r="G8" s="130"/>
      <c r="H8" s="130">
        <f>91.5/1000</f>
        <v>9.1499999999999998E-2</v>
      </c>
      <c r="I8" s="370" t="s">
        <v>121</v>
      </c>
      <c r="J8" s="130"/>
      <c r="K8" s="190" t="s">
        <v>318</v>
      </c>
      <c r="L8" s="130">
        <v>15</v>
      </c>
      <c r="M8" s="190" t="s">
        <v>322</v>
      </c>
      <c r="N8" s="130"/>
      <c r="O8" s="130"/>
      <c r="P8" s="130"/>
      <c r="Q8" s="130"/>
      <c r="R8" s="130"/>
    </row>
    <row r="9" spans="1:20" s="136" customFormat="1" ht="13.5" thickBot="1" x14ac:dyDescent="0.25">
      <c r="A9" s="134" t="s">
        <v>246</v>
      </c>
      <c r="B9" s="433">
        <f>B5/H9/1000</f>
        <v>0.40052460870316414</v>
      </c>
      <c r="C9" s="134" t="s">
        <v>119</v>
      </c>
      <c r="D9" s="134"/>
      <c r="E9" s="134" t="s">
        <v>247</v>
      </c>
      <c r="F9" s="134"/>
      <c r="G9" s="134"/>
      <c r="H9" s="406">
        <f>127333/1000000</f>
        <v>0.127333</v>
      </c>
      <c r="I9" s="134" t="s">
        <v>121</v>
      </c>
      <c r="J9" s="134"/>
      <c r="K9" s="134" t="s">
        <v>263</v>
      </c>
      <c r="L9" s="407">
        <v>0.1</v>
      </c>
      <c r="M9" s="134" t="s">
        <v>258</v>
      </c>
      <c r="N9" s="134"/>
      <c r="O9" s="130"/>
      <c r="P9" s="130"/>
      <c r="Q9" s="130"/>
      <c r="R9" s="130"/>
    </row>
    <row r="10" spans="1:20" s="186" customFormat="1" ht="63.75" x14ac:dyDescent="0.2">
      <c r="A10" s="410" t="s">
        <v>128</v>
      </c>
      <c r="B10" s="411" t="s">
        <v>19</v>
      </c>
      <c r="C10" s="411" t="s">
        <v>129</v>
      </c>
      <c r="D10" s="411" t="s">
        <v>130</v>
      </c>
      <c r="E10" s="411" t="s">
        <v>320</v>
      </c>
      <c r="F10" s="411" t="s">
        <v>251</v>
      </c>
      <c r="G10" s="411" t="s">
        <v>132</v>
      </c>
      <c r="H10" s="411" t="s">
        <v>133</v>
      </c>
      <c r="I10" s="411" t="s">
        <v>313</v>
      </c>
      <c r="J10" s="411" t="s">
        <v>252</v>
      </c>
      <c r="K10" s="411" t="s">
        <v>135</v>
      </c>
      <c r="L10" s="411" t="s">
        <v>136</v>
      </c>
      <c r="M10" s="412" t="s">
        <v>137</v>
      </c>
      <c r="T10" s="187"/>
    </row>
    <row r="11" spans="1:20" s="136" customFormat="1" x14ac:dyDescent="0.2">
      <c r="A11" s="538" t="s">
        <v>325</v>
      </c>
      <c r="B11" s="177" t="s">
        <v>139</v>
      </c>
      <c r="C11" s="128">
        <v>1.7999999999999999E-6</v>
      </c>
      <c r="D11" s="128">
        <v>2.1100000000000001E-5</v>
      </c>
      <c r="E11" s="542" t="s">
        <v>319</v>
      </c>
      <c r="F11" s="128">
        <v>2.1100000000000001E-5</v>
      </c>
      <c r="G11" s="128">
        <f t="shared" ref="G11:G23" si="0">C11*$B$7</f>
        <v>8.9999999999999999E-8</v>
      </c>
      <c r="H11" s="128">
        <f>D11*$B$6</f>
        <v>7.6861540659262177E-6</v>
      </c>
      <c r="I11" s="128">
        <f>G11</f>
        <v>8.9999999999999999E-8</v>
      </c>
      <c r="J11" s="128">
        <f>F11*$B$9</f>
        <v>8.4510692436367636E-6</v>
      </c>
      <c r="K11" s="181">
        <f>MAX(G11:J11)</f>
        <v>8.4510692436367636E-6</v>
      </c>
      <c r="L11" s="181">
        <f>K11*8760/2000</f>
        <v>3.7015683287129023E-5</v>
      </c>
      <c r="M11" s="413">
        <f>K11*8760/2000</f>
        <v>3.7015683287129023E-5</v>
      </c>
      <c r="T11" s="168"/>
    </row>
    <row r="12" spans="1:20" s="136" customFormat="1" x14ac:dyDescent="0.2">
      <c r="A12" s="539"/>
      <c r="B12" s="177" t="s">
        <v>140</v>
      </c>
      <c r="C12" s="128">
        <v>1.7999999999999999E-6</v>
      </c>
      <c r="D12" s="128">
        <v>2.53E-7</v>
      </c>
      <c r="E12" s="543"/>
      <c r="F12" s="128">
        <v>2.53E-7</v>
      </c>
      <c r="G12" s="128">
        <f t="shared" si="0"/>
        <v>8.9999999999999999E-8</v>
      </c>
      <c r="H12" s="128">
        <f>D12*$B$6</f>
        <v>9.2160994250205359E-8</v>
      </c>
      <c r="I12" s="128">
        <f t="shared" ref="I12:I48" si="1">G12</f>
        <v>8.9999999999999999E-8</v>
      </c>
      <c r="J12" s="128">
        <f t="shared" ref="J12:J48" si="2">F12*$B$9</f>
        <v>1.0133272600190053E-7</v>
      </c>
      <c r="K12" s="181">
        <f t="shared" ref="K12:K47" si="3">MAX(G12:J12)</f>
        <v>1.0133272600190053E-7</v>
      </c>
      <c r="L12" s="181">
        <f t="shared" ref="L12:L62" si="4">K12*8760/2000</f>
        <v>4.4383733988832429E-7</v>
      </c>
      <c r="M12" s="413">
        <f t="shared" ref="M12:M56" si="5">K12*8760/2000</f>
        <v>4.4383733988832429E-7</v>
      </c>
    </row>
    <row r="13" spans="1:20" s="136" customFormat="1" x14ac:dyDescent="0.2">
      <c r="A13" s="539"/>
      <c r="B13" s="177" t="s">
        <v>141</v>
      </c>
      <c r="C13" s="128">
        <v>2.3999999999999999E-6</v>
      </c>
      <c r="D13" s="128">
        <v>1.22E-6</v>
      </c>
      <c r="E13" s="543"/>
      <c r="F13" s="128">
        <v>1.22E-6</v>
      </c>
      <c r="G13" s="128">
        <f t="shared" si="0"/>
        <v>1.1999999999999999E-7</v>
      </c>
      <c r="H13" s="128">
        <f>D13*$B$6</f>
        <v>4.4441269954644482E-7</v>
      </c>
      <c r="I13" s="128">
        <f t="shared" si="1"/>
        <v>1.1999999999999999E-7</v>
      </c>
      <c r="J13" s="128">
        <f t="shared" si="2"/>
        <v>4.8864002261786023E-7</v>
      </c>
      <c r="K13" s="181">
        <f t="shared" si="3"/>
        <v>4.8864002261786023E-7</v>
      </c>
      <c r="L13" s="181">
        <f t="shared" si="4"/>
        <v>2.1402432990662281E-6</v>
      </c>
      <c r="M13" s="413">
        <f t="shared" si="5"/>
        <v>2.1402432990662281E-6</v>
      </c>
    </row>
    <row r="14" spans="1:20" s="136" customFormat="1" x14ac:dyDescent="0.2">
      <c r="A14" s="539"/>
      <c r="B14" s="177" t="s">
        <v>142</v>
      </c>
      <c r="C14" s="128">
        <v>1.7999999999999999E-6</v>
      </c>
      <c r="D14" s="128">
        <v>4.0099999999999997E-6</v>
      </c>
      <c r="E14" s="543"/>
      <c r="F14" s="128">
        <v>4.0099999999999997E-6</v>
      </c>
      <c r="G14" s="128">
        <f t="shared" si="0"/>
        <v>8.9999999999999999E-8</v>
      </c>
      <c r="H14" s="128">
        <f>D14*$B$6</f>
        <v>1.4607335452305275E-6</v>
      </c>
      <c r="I14" s="128">
        <f t="shared" si="1"/>
        <v>8.9999999999999999E-8</v>
      </c>
      <c r="J14" s="128">
        <f t="shared" si="2"/>
        <v>1.6061036808996881E-6</v>
      </c>
      <c r="K14" s="181">
        <f t="shared" si="3"/>
        <v>1.6061036808996881E-6</v>
      </c>
      <c r="L14" s="181">
        <f t="shared" si="4"/>
        <v>7.0347341223406339E-6</v>
      </c>
      <c r="M14" s="413">
        <f t="shared" si="5"/>
        <v>7.0347341223406339E-6</v>
      </c>
    </row>
    <row r="15" spans="1:20" s="136" customFormat="1" x14ac:dyDescent="0.2">
      <c r="A15" s="539"/>
      <c r="B15" s="177" t="s">
        <v>143</v>
      </c>
      <c r="C15" s="128">
        <v>2.0999999999999999E-3</v>
      </c>
      <c r="D15" s="128">
        <v>2.14E-4</v>
      </c>
      <c r="E15" s="543"/>
      <c r="F15" s="128">
        <v>2.14E-4</v>
      </c>
      <c r="G15" s="128">
        <f t="shared" si="0"/>
        <v>1.05E-4</v>
      </c>
      <c r="H15" s="128">
        <f>D15*$B$6</f>
        <v>7.7954358772900975E-5</v>
      </c>
      <c r="I15" s="128">
        <f t="shared" si="1"/>
        <v>1.05E-4</v>
      </c>
      <c r="J15" s="128">
        <f t="shared" si="2"/>
        <v>8.5712266262477123E-5</v>
      </c>
      <c r="K15" s="181">
        <f t="shared" si="3"/>
        <v>1.05E-4</v>
      </c>
      <c r="L15" s="181">
        <f t="shared" si="4"/>
        <v>4.5990000000000001E-4</v>
      </c>
      <c r="M15" s="413">
        <f t="shared" si="5"/>
        <v>4.5990000000000001E-4</v>
      </c>
    </row>
    <row r="16" spans="1:20" s="136" customFormat="1" x14ac:dyDescent="0.2">
      <c r="A16" s="539"/>
      <c r="B16" s="177" t="s">
        <v>144</v>
      </c>
      <c r="C16" s="128">
        <v>1.1999999999999999E-6</v>
      </c>
      <c r="D16" s="128"/>
      <c r="E16" s="543"/>
      <c r="F16" s="128"/>
      <c r="G16" s="128">
        <f t="shared" si="0"/>
        <v>5.9999999999999995E-8</v>
      </c>
      <c r="H16" s="128"/>
      <c r="I16" s="128">
        <f t="shared" si="1"/>
        <v>5.9999999999999995E-8</v>
      </c>
      <c r="J16" s="128"/>
      <c r="K16" s="181">
        <f t="shared" si="3"/>
        <v>5.9999999999999995E-8</v>
      </c>
      <c r="L16" s="181">
        <f t="shared" si="4"/>
        <v>2.628E-7</v>
      </c>
      <c r="M16" s="413">
        <f t="shared" si="5"/>
        <v>2.628E-7</v>
      </c>
    </row>
    <row r="17" spans="1:20" s="136" customFormat="1" x14ac:dyDescent="0.2">
      <c r="A17" s="539"/>
      <c r="B17" s="177" t="s">
        <v>145</v>
      </c>
      <c r="C17" s="128">
        <v>1.7999999999999999E-6</v>
      </c>
      <c r="D17" s="128">
        <v>1.48E-6</v>
      </c>
      <c r="E17" s="543"/>
      <c r="F17" s="128">
        <v>1.48E-6</v>
      </c>
      <c r="G17" s="128">
        <f t="shared" si="0"/>
        <v>8.9999999999999999E-8</v>
      </c>
      <c r="H17" s="128">
        <f>D17*$B$6</f>
        <v>5.3912360272847408E-7</v>
      </c>
      <c r="I17" s="128">
        <f t="shared" si="1"/>
        <v>8.9999999999999999E-8</v>
      </c>
      <c r="J17" s="128">
        <f t="shared" si="2"/>
        <v>5.9277642088068289E-7</v>
      </c>
      <c r="K17" s="181">
        <f t="shared" si="3"/>
        <v>5.9277642088068289E-7</v>
      </c>
      <c r="L17" s="181">
        <f t="shared" si="4"/>
        <v>2.5963607234573912E-6</v>
      </c>
      <c r="M17" s="413">
        <f t="shared" si="5"/>
        <v>2.5963607234573912E-6</v>
      </c>
    </row>
    <row r="18" spans="1:20" s="136" customFormat="1" x14ac:dyDescent="0.2">
      <c r="A18" s="539"/>
      <c r="B18" s="177" t="s">
        <v>146</v>
      </c>
      <c r="C18" s="128">
        <v>1.1999999999999999E-6</v>
      </c>
      <c r="D18" s="128">
        <v>2.26E-6</v>
      </c>
      <c r="E18" s="543"/>
      <c r="F18" s="128">
        <v>2.26E-6</v>
      </c>
      <c r="G18" s="128">
        <f t="shared" si="0"/>
        <v>5.9999999999999995E-8</v>
      </c>
      <c r="H18" s="128">
        <f>D18*$B$6</f>
        <v>8.2325631227456175E-7</v>
      </c>
      <c r="I18" s="128">
        <f t="shared" si="1"/>
        <v>5.9999999999999995E-8</v>
      </c>
      <c r="J18" s="128">
        <f t="shared" si="2"/>
        <v>9.05185615669151E-7</v>
      </c>
      <c r="K18" s="181">
        <f t="shared" si="3"/>
        <v>9.05185615669151E-7</v>
      </c>
      <c r="L18" s="181">
        <f t="shared" si="4"/>
        <v>3.9647129966308816E-6</v>
      </c>
      <c r="M18" s="413">
        <f t="shared" si="5"/>
        <v>3.9647129966308816E-6</v>
      </c>
    </row>
    <row r="19" spans="1:20" s="136" customFormat="1" x14ac:dyDescent="0.2">
      <c r="A19" s="539"/>
      <c r="B19" s="177" t="s">
        <v>147</v>
      </c>
      <c r="C19" s="128">
        <v>1.7999999999999999E-6</v>
      </c>
      <c r="D19" s="128">
        <v>1.48E-6</v>
      </c>
      <c r="E19" s="543"/>
      <c r="F19" s="128">
        <v>1.48E-6</v>
      </c>
      <c r="G19" s="128">
        <f t="shared" si="0"/>
        <v>8.9999999999999999E-8</v>
      </c>
      <c r="H19" s="128">
        <f>D19*$B$6</f>
        <v>5.3912360272847408E-7</v>
      </c>
      <c r="I19" s="128">
        <f t="shared" si="1"/>
        <v>8.9999999999999999E-8</v>
      </c>
      <c r="J19" s="128">
        <f t="shared" si="2"/>
        <v>5.9277642088068289E-7</v>
      </c>
      <c r="K19" s="181">
        <f t="shared" si="3"/>
        <v>5.9277642088068289E-7</v>
      </c>
      <c r="L19" s="181">
        <f t="shared" si="4"/>
        <v>2.5963607234573912E-6</v>
      </c>
      <c r="M19" s="413">
        <f t="shared" si="5"/>
        <v>2.5963607234573912E-6</v>
      </c>
    </row>
    <row r="20" spans="1:20" s="136" customFormat="1" x14ac:dyDescent="0.2">
      <c r="A20" s="539"/>
      <c r="B20" s="177" t="s">
        <v>148</v>
      </c>
      <c r="C20" s="128">
        <v>1.7999999999999999E-6</v>
      </c>
      <c r="D20" s="128">
        <v>2.3800000000000001E-6</v>
      </c>
      <c r="E20" s="543"/>
      <c r="F20" s="128">
        <v>2.3800000000000001E-6</v>
      </c>
      <c r="G20" s="128">
        <f t="shared" si="0"/>
        <v>8.9999999999999999E-8</v>
      </c>
      <c r="H20" s="128">
        <f>D20*$B$6</f>
        <v>8.6696903682011375E-7</v>
      </c>
      <c r="I20" s="128">
        <f t="shared" si="1"/>
        <v>8.9999999999999999E-8</v>
      </c>
      <c r="J20" s="128">
        <f t="shared" si="2"/>
        <v>9.5324856871353074E-7</v>
      </c>
      <c r="K20" s="181">
        <f t="shared" si="3"/>
        <v>9.5324856871353074E-7</v>
      </c>
      <c r="L20" s="181">
        <f t="shared" si="4"/>
        <v>4.1752287309652644E-6</v>
      </c>
      <c r="M20" s="413">
        <f t="shared" si="5"/>
        <v>4.1752287309652644E-6</v>
      </c>
    </row>
    <row r="21" spans="1:20" s="136" customFormat="1" x14ac:dyDescent="0.2">
      <c r="A21" s="539"/>
      <c r="B21" s="177" t="s">
        <v>149</v>
      </c>
      <c r="C21" s="128">
        <v>1.1999999999999999E-3</v>
      </c>
      <c r="D21" s="128">
        <v>1.6700000000000001E-6</v>
      </c>
      <c r="E21" s="543"/>
      <c r="F21" s="128">
        <v>1.6700000000000001E-6</v>
      </c>
      <c r="G21" s="128">
        <f t="shared" si="0"/>
        <v>5.9999999999999995E-5</v>
      </c>
      <c r="H21" s="128">
        <f>D21*$B$6</f>
        <v>6.0833541659226471E-7</v>
      </c>
      <c r="I21" s="128">
        <f t="shared" si="1"/>
        <v>5.9999999999999995E-5</v>
      </c>
      <c r="J21" s="128">
        <f t="shared" si="2"/>
        <v>6.6887609653428421E-7</v>
      </c>
      <c r="K21" s="181">
        <f t="shared" si="3"/>
        <v>5.9999999999999995E-5</v>
      </c>
      <c r="L21" s="181">
        <f t="shared" si="4"/>
        <v>2.6279999999999999E-4</v>
      </c>
      <c r="M21" s="413">
        <f t="shared" si="5"/>
        <v>2.6279999999999999E-4</v>
      </c>
    </row>
    <row r="22" spans="1:20" s="136" customFormat="1" x14ac:dyDescent="0.2">
      <c r="A22" s="539"/>
      <c r="B22" s="177" t="s">
        <v>150</v>
      </c>
      <c r="C22" s="128">
        <v>1.1999999999999999E-3</v>
      </c>
      <c r="D22" s="128"/>
      <c r="E22" s="543"/>
      <c r="F22" s="128"/>
      <c r="G22" s="128">
        <f t="shared" si="0"/>
        <v>5.9999999999999995E-5</v>
      </c>
      <c r="H22" s="128"/>
      <c r="I22" s="128">
        <f t="shared" si="1"/>
        <v>5.9999999999999995E-5</v>
      </c>
      <c r="J22" s="128"/>
      <c r="K22" s="181">
        <f t="shared" si="3"/>
        <v>5.9999999999999995E-5</v>
      </c>
      <c r="L22" s="181">
        <f t="shared" si="4"/>
        <v>2.6279999999999999E-4</v>
      </c>
      <c r="M22" s="413">
        <f t="shared" si="5"/>
        <v>2.6279999999999999E-4</v>
      </c>
    </row>
    <row r="23" spans="1:20" s="136" customFormat="1" x14ac:dyDescent="0.2">
      <c r="A23" s="539"/>
      <c r="B23" s="177" t="s">
        <v>242</v>
      </c>
      <c r="C23" s="128">
        <v>1.5999999999999999E-5</v>
      </c>
      <c r="D23" s="128"/>
      <c r="E23" s="543"/>
      <c r="F23" s="128"/>
      <c r="G23" s="128">
        <f t="shared" si="0"/>
        <v>7.9999999999999996E-7</v>
      </c>
      <c r="H23" s="128"/>
      <c r="I23" s="128">
        <f t="shared" si="1"/>
        <v>7.9999999999999996E-7</v>
      </c>
      <c r="J23" s="128"/>
      <c r="K23" s="181">
        <f t="shared" si="3"/>
        <v>7.9999999999999996E-7</v>
      </c>
      <c r="L23" s="181">
        <f t="shared" si="4"/>
        <v>3.5039999999999998E-6</v>
      </c>
      <c r="M23" s="413">
        <f t="shared" si="5"/>
        <v>3.5039999999999998E-6</v>
      </c>
    </row>
    <row r="24" spans="1:20" s="136" customFormat="1" x14ac:dyDescent="0.2">
      <c r="A24" s="539"/>
      <c r="B24" s="177" t="s">
        <v>151</v>
      </c>
      <c r="C24" s="128"/>
      <c r="D24" s="128">
        <v>6.3600000000000001E-5</v>
      </c>
      <c r="E24" s="543"/>
      <c r="F24" s="128">
        <v>6.3600000000000001E-5</v>
      </c>
      <c r="G24" s="128"/>
      <c r="H24" s="128">
        <f>D24*$B$6</f>
        <v>2.3167744009142534E-5</v>
      </c>
      <c r="I24" s="128"/>
      <c r="J24" s="128">
        <f t="shared" si="2"/>
        <v>2.5473365113521239E-5</v>
      </c>
      <c r="K24" s="181">
        <f t="shared" si="3"/>
        <v>2.5473365113521239E-5</v>
      </c>
      <c r="L24" s="181">
        <f t="shared" si="4"/>
        <v>1.1157333919722303E-4</v>
      </c>
      <c r="M24" s="413">
        <f t="shared" si="5"/>
        <v>1.1157333919722303E-4</v>
      </c>
    </row>
    <row r="25" spans="1:20" s="136" customFormat="1" x14ac:dyDescent="0.2">
      <c r="A25" s="539"/>
      <c r="B25" s="177" t="s">
        <v>152</v>
      </c>
      <c r="C25" s="128">
        <v>3.0000000000000001E-6</v>
      </c>
      <c r="D25" s="128">
        <v>4.8400000000000002E-6</v>
      </c>
      <c r="E25" s="543"/>
      <c r="F25" s="128">
        <v>4.8400000000000002E-6</v>
      </c>
      <c r="G25" s="128">
        <f t="shared" ref="G25:G36" si="6">C25*$B$7</f>
        <v>1.5000000000000002E-7</v>
      </c>
      <c r="H25" s="128">
        <f>D25*$B$6</f>
        <v>1.7630798900039288E-6</v>
      </c>
      <c r="I25" s="128">
        <f t="shared" si="1"/>
        <v>1.5000000000000002E-7</v>
      </c>
      <c r="J25" s="128">
        <f t="shared" si="2"/>
        <v>1.9385391061233144E-6</v>
      </c>
      <c r="K25" s="181">
        <f t="shared" si="3"/>
        <v>1.9385391061233144E-6</v>
      </c>
      <c r="L25" s="181">
        <f t="shared" si="4"/>
        <v>8.4908012848201169E-6</v>
      </c>
      <c r="M25" s="413">
        <f t="shared" si="5"/>
        <v>8.4908012848201169E-6</v>
      </c>
    </row>
    <row r="26" spans="1:20" s="136" customFormat="1" x14ac:dyDescent="0.2">
      <c r="A26" s="539"/>
      <c r="B26" s="177" t="s">
        <v>153</v>
      </c>
      <c r="C26" s="128">
        <v>2.7999999999999999E-6</v>
      </c>
      <c r="D26" s="128">
        <v>4.4700000000000004E-6</v>
      </c>
      <c r="E26" s="543"/>
      <c r="F26" s="128">
        <v>4.4700000000000004E-6</v>
      </c>
      <c r="G26" s="128">
        <f t="shared" si="6"/>
        <v>1.4000000000000001E-7</v>
      </c>
      <c r="H26" s="128">
        <f>D26*$B$6</f>
        <v>1.6282989893218102E-6</v>
      </c>
      <c r="I26" s="128">
        <f t="shared" si="1"/>
        <v>1.4000000000000001E-7</v>
      </c>
      <c r="J26" s="128">
        <f t="shared" si="2"/>
        <v>1.7903450009031438E-6</v>
      </c>
      <c r="K26" s="181">
        <f t="shared" si="3"/>
        <v>1.7903450009031438E-6</v>
      </c>
      <c r="L26" s="181">
        <f t="shared" si="4"/>
        <v>7.8417111039557708E-6</v>
      </c>
      <c r="M26" s="413">
        <f t="shared" si="5"/>
        <v>7.8417111039557708E-6</v>
      </c>
    </row>
    <row r="27" spans="1:20" s="136" customFormat="1" x14ac:dyDescent="0.2">
      <c r="A27" s="539"/>
      <c r="B27" s="177" t="s">
        <v>154</v>
      </c>
      <c r="C27" s="128">
        <v>7.4999999999999997E-2</v>
      </c>
      <c r="D27" s="128">
        <v>3.3000000000000002E-2</v>
      </c>
      <c r="E27" s="543"/>
      <c r="F27" s="128">
        <v>3.3000000000000002E-2</v>
      </c>
      <c r="G27" s="128">
        <f t="shared" si="6"/>
        <v>3.7499999999999999E-3</v>
      </c>
      <c r="H27" s="128">
        <f>D27*$B$6</f>
        <v>1.2020999250026787E-2</v>
      </c>
      <c r="I27" s="128">
        <f t="shared" si="1"/>
        <v>3.7499999999999999E-3</v>
      </c>
      <c r="J27" s="128">
        <f t="shared" si="2"/>
        <v>1.3217312087204417E-2</v>
      </c>
      <c r="K27" s="181">
        <f t="shared" si="3"/>
        <v>1.3217312087204417E-2</v>
      </c>
      <c r="L27" s="181">
        <f t="shared" si="4"/>
        <v>5.7891826941955354E-2</v>
      </c>
      <c r="M27" s="413">
        <f t="shared" si="5"/>
        <v>5.7891826941955354E-2</v>
      </c>
      <c r="T27" s="168"/>
    </row>
    <row r="28" spans="1:20" s="136" customFormat="1" x14ac:dyDescent="0.2">
      <c r="A28" s="539"/>
      <c r="B28" s="177" t="s">
        <v>155</v>
      </c>
      <c r="C28" s="128">
        <v>1.8</v>
      </c>
      <c r="D28" s="128"/>
      <c r="E28" s="543"/>
      <c r="F28" s="128"/>
      <c r="G28" s="128">
        <f t="shared" si="6"/>
        <v>9.0000000000000011E-2</v>
      </c>
      <c r="H28" s="128"/>
      <c r="I28" s="128">
        <f t="shared" si="1"/>
        <v>9.0000000000000011E-2</v>
      </c>
      <c r="J28" s="128"/>
      <c r="K28" s="181">
        <f t="shared" si="3"/>
        <v>9.0000000000000011E-2</v>
      </c>
      <c r="L28" s="181">
        <f t="shared" si="4"/>
        <v>0.39420000000000005</v>
      </c>
      <c r="M28" s="414">
        <f t="shared" si="5"/>
        <v>0.39420000000000005</v>
      </c>
    </row>
    <row r="29" spans="1:20" s="136" customFormat="1" x14ac:dyDescent="0.2">
      <c r="A29" s="539"/>
      <c r="B29" s="177" t="s">
        <v>156</v>
      </c>
      <c r="C29" s="128">
        <v>1.7999999999999999E-6</v>
      </c>
      <c r="D29" s="128">
        <v>2.1399999999999998E-6</v>
      </c>
      <c r="E29" s="543"/>
      <c r="F29" s="128">
        <v>2.1399999999999998E-6</v>
      </c>
      <c r="G29" s="128">
        <f t="shared" si="6"/>
        <v>8.9999999999999999E-8</v>
      </c>
      <c r="H29" s="128">
        <f t="shared" ref="H29:H48" si="7">D29*$B$6</f>
        <v>7.7954358772900975E-7</v>
      </c>
      <c r="I29" s="128">
        <f t="shared" si="1"/>
        <v>8.9999999999999999E-8</v>
      </c>
      <c r="J29" s="128">
        <f t="shared" si="2"/>
        <v>8.5712266262477125E-7</v>
      </c>
      <c r="K29" s="181">
        <f t="shared" si="3"/>
        <v>8.5712266262477125E-7</v>
      </c>
      <c r="L29" s="181">
        <f t="shared" si="4"/>
        <v>3.7541972622964984E-6</v>
      </c>
      <c r="M29" s="414">
        <f t="shared" si="5"/>
        <v>3.7541972622964984E-6</v>
      </c>
    </row>
    <row r="30" spans="1:20" s="136" customFormat="1" x14ac:dyDescent="0.2">
      <c r="A30" s="539"/>
      <c r="B30" s="177" t="s">
        <v>244</v>
      </c>
      <c r="C30" s="128">
        <v>2.4000000000000001E-5</v>
      </c>
      <c r="D30" s="128"/>
      <c r="E30" s="543"/>
      <c r="F30" s="128"/>
      <c r="G30" s="128">
        <f t="shared" si="6"/>
        <v>1.2000000000000002E-6</v>
      </c>
      <c r="H30" s="128"/>
      <c r="I30" s="128">
        <f t="shared" si="1"/>
        <v>1.2000000000000002E-6</v>
      </c>
      <c r="J30" s="128"/>
      <c r="K30" s="181">
        <f t="shared" si="3"/>
        <v>1.2000000000000002E-6</v>
      </c>
      <c r="L30" s="181">
        <f t="shared" ref="L30:L31" si="8">K30*8760/2000</f>
        <v>5.256000000000001E-6</v>
      </c>
      <c r="M30" s="414">
        <f t="shared" ref="M30:M31" si="9">K30*8760/2000</f>
        <v>5.256000000000001E-6</v>
      </c>
    </row>
    <row r="31" spans="1:20" s="136" customFormat="1" x14ac:dyDescent="0.2">
      <c r="A31" s="539"/>
      <c r="B31" s="177" t="s">
        <v>245</v>
      </c>
      <c r="C31" s="128">
        <v>1.7999999999999999E-6</v>
      </c>
      <c r="D31" s="128"/>
      <c r="E31" s="543"/>
      <c r="F31" s="128"/>
      <c r="G31" s="128">
        <f t="shared" si="6"/>
        <v>8.9999999999999999E-8</v>
      </c>
      <c r="H31" s="128"/>
      <c r="I31" s="128">
        <f t="shared" si="1"/>
        <v>8.9999999999999999E-8</v>
      </c>
      <c r="J31" s="128"/>
      <c r="K31" s="181">
        <f t="shared" si="3"/>
        <v>8.9999999999999999E-8</v>
      </c>
      <c r="L31" s="181">
        <f t="shared" si="8"/>
        <v>3.9419999999999997E-7</v>
      </c>
      <c r="M31" s="414">
        <f t="shared" si="9"/>
        <v>3.9419999999999997E-7</v>
      </c>
    </row>
    <row r="32" spans="1:20" s="136" customFormat="1" x14ac:dyDescent="0.2">
      <c r="A32" s="539"/>
      <c r="B32" s="177" t="s">
        <v>157</v>
      </c>
      <c r="C32" s="128">
        <v>6.0999999999999997E-4</v>
      </c>
      <c r="D32" s="128">
        <v>1.1299999999999999E-3</v>
      </c>
      <c r="E32" s="543"/>
      <c r="F32" s="128">
        <v>1.1299999999999999E-3</v>
      </c>
      <c r="G32" s="128">
        <f t="shared" si="6"/>
        <v>3.0499999999999999E-5</v>
      </c>
      <c r="H32" s="128">
        <f t="shared" si="7"/>
        <v>4.1162815613728082E-4</v>
      </c>
      <c r="I32" s="128">
        <f t="shared" si="1"/>
        <v>3.0499999999999999E-5</v>
      </c>
      <c r="J32" s="128">
        <f t="shared" si="2"/>
        <v>4.5259280783457547E-4</v>
      </c>
      <c r="K32" s="181">
        <f t="shared" si="3"/>
        <v>4.5259280783457547E-4</v>
      </c>
      <c r="L32" s="181">
        <f t="shared" si="4"/>
        <v>1.9823564983154403E-3</v>
      </c>
      <c r="M32" s="414">
        <f t="shared" si="5"/>
        <v>1.9823564983154403E-3</v>
      </c>
    </row>
    <row r="33" spans="1:20" s="136" customFormat="1" x14ac:dyDescent="0.2">
      <c r="A33" s="539"/>
      <c r="B33" s="177" t="s">
        <v>158</v>
      </c>
      <c r="C33" s="128">
        <v>1.7E-5</v>
      </c>
      <c r="D33" s="128">
        <v>1.0499999999999999E-5</v>
      </c>
      <c r="E33" s="543"/>
      <c r="F33" s="128">
        <v>1.0499999999999999E-5</v>
      </c>
      <c r="G33" s="128">
        <f t="shared" si="6"/>
        <v>8.5000000000000001E-7</v>
      </c>
      <c r="H33" s="128">
        <f t="shared" si="7"/>
        <v>3.8248633977357952E-6</v>
      </c>
      <c r="I33" s="128">
        <f t="shared" si="1"/>
        <v>8.5000000000000001E-7</v>
      </c>
      <c r="J33" s="128">
        <f t="shared" si="2"/>
        <v>4.2055083913832234E-6</v>
      </c>
      <c r="K33" s="181">
        <f t="shared" si="3"/>
        <v>4.2055083913832234E-6</v>
      </c>
      <c r="L33" s="181">
        <f t="shared" si="4"/>
        <v>1.8420126754258517E-5</v>
      </c>
      <c r="M33" s="414">
        <f t="shared" si="5"/>
        <v>1.8420126754258517E-5</v>
      </c>
    </row>
    <row r="34" spans="1:20" s="136" customFormat="1" hidden="1" x14ac:dyDescent="0.2">
      <c r="A34" s="539"/>
      <c r="B34" s="177" t="s">
        <v>284</v>
      </c>
      <c r="C34" s="128"/>
      <c r="D34" s="128"/>
      <c r="E34" s="543"/>
      <c r="F34" s="128"/>
      <c r="G34" s="128"/>
      <c r="H34" s="128"/>
      <c r="I34" s="128"/>
      <c r="J34" s="128">
        <f t="shared" si="2"/>
        <v>0</v>
      </c>
      <c r="K34" s="181">
        <f t="shared" si="3"/>
        <v>0</v>
      </c>
      <c r="L34" s="181">
        <f t="shared" ref="L34" si="10">K34*8760/2000</f>
        <v>0</v>
      </c>
      <c r="M34" s="414">
        <f t="shared" ref="M34" si="11">K34*8760/2000</f>
        <v>0</v>
      </c>
    </row>
    <row r="35" spans="1:20" s="136" customFormat="1" x14ac:dyDescent="0.2">
      <c r="A35" s="539"/>
      <c r="B35" s="177" t="s">
        <v>159</v>
      </c>
      <c r="C35" s="128">
        <v>5.0000000000000004E-6</v>
      </c>
      <c r="D35" s="128">
        <v>4.25E-6</v>
      </c>
      <c r="E35" s="543"/>
      <c r="F35" s="128">
        <v>4.25E-6</v>
      </c>
      <c r="G35" s="128">
        <f t="shared" si="6"/>
        <v>2.5000000000000004E-7</v>
      </c>
      <c r="H35" s="128">
        <f t="shared" si="7"/>
        <v>1.5481589943216315E-6</v>
      </c>
      <c r="I35" s="128">
        <f t="shared" si="1"/>
        <v>2.5000000000000004E-7</v>
      </c>
      <c r="J35" s="128">
        <f t="shared" si="2"/>
        <v>1.7022295869884476E-6</v>
      </c>
      <c r="K35" s="181">
        <f t="shared" si="3"/>
        <v>1.7022295869884476E-6</v>
      </c>
      <c r="L35" s="181">
        <f t="shared" si="4"/>
        <v>7.4557655910094004E-6</v>
      </c>
      <c r="M35" s="414">
        <f t="shared" si="5"/>
        <v>7.4557655910094004E-6</v>
      </c>
    </row>
    <row r="36" spans="1:20" s="136" customFormat="1" x14ac:dyDescent="0.2">
      <c r="A36" s="539"/>
      <c r="B36" s="177" t="s">
        <v>160</v>
      </c>
      <c r="C36" s="128">
        <v>3.3999999999999998E-3</v>
      </c>
      <c r="D36" s="128">
        <v>6.1999999999999998E-3</v>
      </c>
      <c r="E36" s="543"/>
      <c r="F36" s="128">
        <v>6.1999999999999998E-3</v>
      </c>
      <c r="G36" s="128">
        <f t="shared" si="6"/>
        <v>1.7000000000000001E-4</v>
      </c>
      <c r="H36" s="128">
        <f t="shared" si="7"/>
        <v>2.2584907681868507E-3</v>
      </c>
      <c r="I36" s="128">
        <f t="shared" si="1"/>
        <v>1.7000000000000001E-4</v>
      </c>
      <c r="J36" s="128">
        <f t="shared" si="2"/>
        <v>2.4832525739596177E-3</v>
      </c>
      <c r="K36" s="181">
        <f t="shared" si="3"/>
        <v>2.4832525739596177E-3</v>
      </c>
      <c r="L36" s="181">
        <f t="shared" si="4"/>
        <v>1.0876646273943125E-2</v>
      </c>
      <c r="M36" s="414">
        <f t="shared" si="5"/>
        <v>1.0876646273943125E-2</v>
      </c>
    </row>
    <row r="37" spans="1:20" s="136" customFormat="1" x14ac:dyDescent="0.2">
      <c r="A37" s="539"/>
      <c r="B37" s="177" t="s">
        <v>282</v>
      </c>
      <c r="C37" s="128"/>
      <c r="D37" s="128">
        <v>2.3599999999999999E-4</v>
      </c>
      <c r="E37" s="543"/>
      <c r="F37" s="128">
        <v>2.3599999999999999E-4</v>
      </c>
      <c r="G37" s="128"/>
      <c r="H37" s="128">
        <f t="shared" si="7"/>
        <v>8.5968358272918834E-5</v>
      </c>
      <c r="I37" s="128"/>
      <c r="J37" s="128">
        <f t="shared" si="2"/>
        <v>9.4523807653946736E-5</v>
      </c>
      <c r="K37" s="181">
        <f t="shared" si="3"/>
        <v>9.4523807653946736E-5</v>
      </c>
      <c r="L37" s="181">
        <f t="shared" ref="L37" si="12">K37*8760/2000</f>
        <v>4.1401427752428674E-4</v>
      </c>
      <c r="M37" s="414">
        <f t="shared" ref="M37" si="13">K37*8760/2000</f>
        <v>4.1401427752428674E-4</v>
      </c>
    </row>
    <row r="38" spans="1:20" s="136" customFormat="1" x14ac:dyDescent="0.2">
      <c r="A38" s="539"/>
      <c r="B38" s="177" t="s">
        <v>161</v>
      </c>
      <c r="C38" s="128"/>
      <c r="D38" s="128">
        <v>1.0900000000000001E-4</v>
      </c>
      <c r="E38" s="543"/>
      <c r="F38" s="128">
        <v>1.0900000000000001E-4</v>
      </c>
      <c r="G38" s="128"/>
      <c r="H38" s="128">
        <f t="shared" si="7"/>
        <v>3.9705724795543021E-5</v>
      </c>
      <c r="I38" s="128"/>
      <c r="J38" s="128">
        <f t="shared" si="2"/>
        <v>4.3657182348644897E-5</v>
      </c>
      <c r="K38" s="181">
        <f t="shared" si="3"/>
        <v>4.3657182348644897E-5</v>
      </c>
      <c r="L38" s="181">
        <f t="shared" si="4"/>
        <v>1.9121845868706467E-4</v>
      </c>
      <c r="M38" s="414">
        <f t="shared" si="5"/>
        <v>1.9121845868706467E-4</v>
      </c>
    </row>
    <row r="39" spans="1:20" s="136" customFormat="1" x14ac:dyDescent="0.2">
      <c r="A39" s="539"/>
      <c r="B39" s="177" t="s">
        <v>162</v>
      </c>
      <c r="C39" s="128">
        <v>5.2500000000000003E-3</v>
      </c>
      <c r="D39" s="128"/>
      <c r="E39" s="543"/>
      <c r="F39" s="128"/>
      <c r="G39" s="128">
        <f t="shared" ref="G39:G48" si="14">C39*$B$7</f>
        <v>2.6250000000000004E-4</v>
      </c>
      <c r="H39" s="128"/>
      <c r="I39" s="128">
        <f t="shared" si="1"/>
        <v>2.6250000000000004E-4</v>
      </c>
      <c r="J39" s="128"/>
      <c r="K39" s="181">
        <f t="shared" si="3"/>
        <v>2.6250000000000004E-4</v>
      </c>
      <c r="L39" s="181">
        <f t="shared" si="4"/>
        <v>1.1497500000000002E-3</v>
      </c>
      <c r="M39" s="414">
        <f t="shared" si="5"/>
        <v>1.1497500000000002E-3</v>
      </c>
      <c r="T39" s="168"/>
    </row>
    <row r="40" spans="1:20" s="136" customFormat="1" x14ac:dyDescent="0.2">
      <c r="A40" s="539"/>
      <c r="B40" s="177" t="s">
        <v>163</v>
      </c>
      <c r="C40" s="128">
        <v>2.0000000000000001E-4</v>
      </c>
      <c r="D40" s="128">
        <f>(0.000004)*$H$6/1000</f>
        <v>5.6002E-10</v>
      </c>
      <c r="E40" s="543"/>
      <c r="F40" s="128">
        <f>(0.000004)*$H$6/1000</f>
        <v>5.6002E-10</v>
      </c>
      <c r="G40" s="128">
        <f t="shared" si="14"/>
        <v>1.0000000000000001E-5</v>
      </c>
      <c r="H40" s="128">
        <f t="shared" si="7"/>
        <v>2.0400000000000002E-10</v>
      </c>
      <c r="I40" s="128">
        <f t="shared" si="1"/>
        <v>1.0000000000000001E-5</v>
      </c>
      <c r="J40" s="128">
        <f t="shared" si="2"/>
        <v>2.2430179136594599E-10</v>
      </c>
      <c r="K40" s="181">
        <f t="shared" si="3"/>
        <v>1.0000000000000001E-5</v>
      </c>
      <c r="L40" s="181">
        <f t="shared" si="4"/>
        <v>4.3800000000000008E-5</v>
      </c>
      <c r="M40" s="414">
        <f t="shared" si="5"/>
        <v>4.3800000000000008E-5</v>
      </c>
      <c r="T40" s="168"/>
    </row>
    <row r="41" spans="1:20" s="136" customFormat="1" x14ac:dyDescent="0.2">
      <c r="A41" s="539"/>
      <c r="B41" s="177" t="s">
        <v>164</v>
      </c>
      <c r="C41" s="128">
        <v>1.2E-5</v>
      </c>
      <c r="D41" s="128">
        <f>(0.000003)*$H$6/1000</f>
        <v>4.2001499999999997E-10</v>
      </c>
      <c r="E41" s="543"/>
      <c r="F41" s="128">
        <f>(0.000003)*$H$6/1000</f>
        <v>4.2001499999999997E-10</v>
      </c>
      <c r="G41" s="128">
        <f t="shared" si="14"/>
        <v>6.0000000000000008E-7</v>
      </c>
      <c r="H41" s="128">
        <f t="shared" si="7"/>
        <v>1.5300000000000001E-10</v>
      </c>
      <c r="I41" s="128">
        <f t="shared" si="1"/>
        <v>6.0000000000000008E-7</v>
      </c>
      <c r="J41" s="128">
        <f t="shared" si="2"/>
        <v>1.6822634352445948E-10</v>
      </c>
      <c r="K41" s="181">
        <f t="shared" si="3"/>
        <v>6.0000000000000008E-7</v>
      </c>
      <c r="L41" s="181">
        <f t="shared" si="4"/>
        <v>2.6280000000000005E-6</v>
      </c>
      <c r="M41" s="414">
        <f t="shared" si="5"/>
        <v>2.6280000000000005E-6</v>
      </c>
      <c r="T41" s="168"/>
    </row>
    <row r="42" spans="1:20" s="136" customFormat="1" x14ac:dyDescent="0.2">
      <c r="A42" s="539"/>
      <c r="B42" s="177" t="s">
        <v>165</v>
      </c>
      <c r="C42" s="128">
        <v>1.1000000000000001E-3</v>
      </c>
      <c r="D42" s="128">
        <f>(0.000003)*$H$6/1000</f>
        <v>4.2001499999999997E-10</v>
      </c>
      <c r="E42" s="543"/>
      <c r="F42" s="128">
        <f>(0.000003)*$H$6/1000</f>
        <v>4.2001499999999997E-10</v>
      </c>
      <c r="G42" s="128">
        <f t="shared" si="14"/>
        <v>5.5000000000000009E-5</v>
      </c>
      <c r="H42" s="128">
        <f t="shared" si="7"/>
        <v>1.5300000000000001E-10</v>
      </c>
      <c r="I42" s="128">
        <f t="shared" si="1"/>
        <v>5.5000000000000009E-5</v>
      </c>
      <c r="J42" s="128">
        <f t="shared" si="2"/>
        <v>1.6822634352445948E-10</v>
      </c>
      <c r="K42" s="181">
        <f t="shared" si="3"/>
        <v>5.5000000000000009E-5</v>
      </c>
      <c r="L42" s="181">
        <f t="shared" si="4"/>
        <v>2.4090000000000003E-4</v>
      </c>
      <c r="M42" s="414">
        <f t="shared" si="5"/>
        <v>2.4090000000000003E-4</v>
      </c>
      <c r="T42" s="168"/>
    </row>
    <row r="43" spans="1:20" s="136" customFormat="1" x14ac:dyDescent="0.2">
      <c r="A43" s="539"/>
      <c r="B43" s="177" t="s">
        <v>166</v>
      </c>
      <c r="C43" s="128">
        <v>1.4E-3</v>
      </c>
      <c r="D43" s="128">
        <f>(0.000003)*$H$6/1000</f>
        <v>4.2001499999999997E-10</v>
      </c>
      <c r="E43" s="543"/>
      <c r="F43" s="128">
        <f>(0.000003)*$H$6/1000</f>
        <v>4.2001499999999997E-10</v>
      </c>
      <c r="G43" s="128">
        <f t="shared" si="14"/>
        <v>7.0000000000000007E-5</v>
      </c>
      <c r="H43" s="128">
        <f t="shared" si="7"/>
        <v>1.5300000000000001E-10</v>
      </c>
      <c r="I43" s="128">
        <f t="shared" si="1"/>
        <v>7.0000000000000007E-5</v>
      </c>
      <c r="J43" s="128">
        <f t="shared" si="2"/>
        <v>1.6822634352445948E-10</v>
      </c>
      <c r="K43" s="181">
        <f t="shared" si="3"/>
        <v>7.0000000000000007E-5</v>
      </c>
      <c r="L43" s="181">
        <f t="shared" si="4"/>
        <v>3.0660000000000003E-4</v>
      </c>
      <c r="M43" s="414">
        <f t="shared" si="5"/>
        <v>3.0660000000000003E-4</v>
      </c>
      <c r="T43" s="168"/>
    </row>
    <row r="44" spans="1:20" s="136" customFormat="1" x14ac:dyDescent="0.2">
      <c r="A44" s="539"/>
      <c r="B44" s="177" t="s">
        <v>167</v>
      </c>
      <c r="C44" s="128">
        <v>8.3999999999999995E-5</v>
      </c>
      <c r="D44" s="128"/>
      <c r="E44" s="543"/>
      <c r="F44" s="128"/>
      <c r="G44" s="128">
        <f t="shared" si="14"/>
        <v>4.1999999999999996E-6</v>
      </c>
      <c r="H44" s="128"/>
      <c r="I44" s="128">
        <f t="shared" si="1"/>
        <v>4.1999999999999996E-6</v>
      </c>
      <c r="J44" s="128"/>
      <c r="K44" s="181">
        <f t="shared" si="3"/>
        <v>4.1999999999999996E-6</v>
      </c>
      <c r="L44" s="181">
        <f t="shared" si="4"/>
        <v>1.8395999999999998E-5</v>
      </c>
      <c r="M44" s="414">
        <f t="shared" si="5"/>
        <v>1.8395999999999998E-5</v>
      </c>
      <c r="T44" s="168"/>
    </row>
    <row r="45" spans="1:20" s="136" customFormat="1" x14ac:dyDescent="0.2">
      <c r="A45" s="539"/>
      <c r="B45" s="177" t="s">
        <v>168</v>
      </c>
      <c r="C45" s="128">
        <v>3.8000000000000002E-4</v>
      </c>
      <c r="D45" s="128">
        <f>(0.000006)*$H$6/1000</f>
        <v>8.4002999999999994E-10</v>
      </c>
      <c r="E45" s="543"/>
      <c r="F45" s="128">
        <f>(0.000006)*$H$6/1000</f>
        <v>8.4002999999999994E-10</v>
      </c>
      <c r="G45" s="128">
        <f t="shared" si="14"/>
        <v>1.9000000000000001E-5</v>
      </c>
      <c r="H45" s="128">
        <f t="shared" si="7"/>
        <v>3.0600000000000003E-10</v>
      </c>
      <c r="I45" s="128">
        <f t="shared" si="1"/>
        <v>1.9000000000000001E-5</v>
      </c>
      <c r="J45" s="128">
        <f t="shared" si="2"/>
        <v>3.3645268704891896E-10</v>
      </c>
      <c r="K45" s="181">
        <f t="shared" si="3"/>
        <v>1.9000000000000001E-5</v>
      </c>
      <c r="L45" s="181">
        <f t="shared" si="4"/>
        <v>8.3220000000000006E-5</v>
      </c>
      <c r="M45" s="414">
        <f t="shared" si="5"/>
        <v>8.3220000000000006E-5</v>
      </c>
      <c r="O45" s="130"/>
      <c r="P45" s="130"/>
      <c r="Q45" s="130"/>
      <c r="T45" s="168"/>
    </row>
    <row r="46" spans="1:20" s="136" customFormat="1" x14ac:dyDescent="0.2">
      <c r="A46" s="539"/>
      <c r="B46" s="177" t="s">
        <v>169</v>
      </c>
      <c r="C46" s="131">
        <v>2.5999999999999998E-4</v>
      </c>
      <c r="D46" s="128">
        <f>(0.000003)*$H$6/1000</f>
        <v>4.2001499999999997E-10</v>
      </c>
      <c r="E46" s="543"/>
      <c r="F46" s="128">
        <f>(0.000003)*$H$6/1000</f>
        <v>4.2001499999999997E-10</v>
      </c>
      <c r="G46" s="128">
        <f t="shared" si="14"/>
        <v>1.2999999999999999E-5</v>
      </c>
      <c r="H46" s="128">
        <f t="shared" si="7"/>
        <v>1.5300000000000001E-10</v>
      </c>
      <c r="I46" s="128">
        <f t="shared" si="1"/>
        <v>1.2999999999999999E-5</v>
      </c>
      <c r="J46" s="128">
        <f t="shared" si="2"/>
        <v>1.6822634352445948E-10</v>
      </c>
      <c r="K46" s="181">
        <f t="shared" si="3"/>
        <v>1.2999999999999999E-5</v>
      </c>
      <c r="L46" s="185">
        <f t="shared" si="4"/>
        <v>5.694E-5</v>
      </c>
      <c r="M46" s="414">
        <f t="shared" si="5"/>
        <v>5.694E-5</v>
      </c>
      <c r="N46" s="130"/>
      <c r="O46" s="169"/>
      <c r="P46" s="170"/>
      <c r="Q46" s="169"/>
      <c r="R46" s="130"/>
      <c r="S46" s="130"/>
      <c r="T46" s="170"/>
    </row>
    <row r="47" spans="1:20" s="136" customFormat="1" x14ac:dyDescent="0.2">
      <c r="A47" s="539"/>
      <c r="B47" s="177" t="s">
        <v>170</v>
      </c>
      <c r="C47" s="128">
        <v>2.0999999999999999E-3</v>
      </c>
      <c r="D47" s="128">
        <f>(0.000003)*$H$6/1000</f>
        <v>4.2001499999999997E-10</v>
      </c>
      <c r="E47" s="543"/>
      <c r="F47" s="128">
        <f>(0.000003)*$H$6/1000</f>
        <v>4.2001499999999997E-10</v>
      </c>
      <c r="G47" s="128">
        <f t="shared" si="14"/>
        <v>1.05E-4</v>
      </c>
      <c r="H47" s="128">
        <f>D47*$B$6</f>
        <v>1.5300000000000001E-10</v>
      </c>
      <c r="I47" s="128">
        <f t="shared" si="1"/>
        <v>1.05E-4</v>
      </c>
      <c r="J47" s="128">
        <f t="shared" si="2"/>
        <v>1.6822634352445948E-10</v>
      </c>
      <c r="K47" s="181">
        <f t="shared" si="3"/>
        <v>1.05E-4</v>
      </c>
      <c r="L47" s="181">
        <f t="shared" si="4"/>
        <v>4.5990000000000001E-4</v>
      </c>
      <c r="M47" s="414">
        <f t="shared" si="5"/>
        <v>4.5990000000000001E-4</v>
      </c>
      <c r="T47" s="168"/>
    </row>
    <row r="48" spans="1:20" s="136" customFormat="1" x14ac:dyDescent="0.2">
      <c r="A48" s="539"/>
      <c r="B48" s="177" t="s">
        <v>171</v>
      </c>
      <c r="C48" s="128">
        <v>2.4000000000000001E-5</v>
      </c>
      <c r="D48" s="128">
        <f>(0.000015)*$H$6/1000</f>
        <v>2.1000750000000001E-9</v>
      </c>
      <c r="E48" s="543"/>
      <c r="F48" s="128">
        <f>(0.000015)*$H$6/1000</f>
        <v>2.1000750000000001E-9</v>
      </c>
      <c r="G48" s="128">
        <f t="shared" si="14"/>
        <v>1.2000000000000002E-6</v>
      </c>
      <c r="H48" s="128">
        <f t="shared" si="7"/>
        <v>7.6500000000000015E-10</v>
      </c>
      <c r="I48" s="128">
        <f t="shared" si="1"/>
        <v>1.2000000000000002E-6</v>
      </c>
      <c r="J48" s="128">
        <f t="shared" si="2"/>
        <v>8.4113171762229743E-10</v>
      </c>
      <c r="K48" s="181">
        <f>MAX(G48:J48)</f>
        <v>1.2000000000000002E-6</v>
      </c>
      <c r="L48" s="181">
        <f>K48*8760/2000</f>
        <v>5.256000000000001E-6</v>
      </c>
      <c r="M48" s="414">
        <f t="shared" si="5"/>
        <v>5.256000000000001E-6</v>
      </c>
      <c r="T48" s="168"/>
    </row>
    <row r="49" spans="1:20" s="136" customFormat="1" x14ac:dyDescent="0.2">
      <c r="A49" s="539"/>
      <c r="B49" s="178" t="s">
        <v>172</v>
      </c>
      <c r="C49" s="128"/>
      <c r="D49" s="128"/>
      <c r="E49" s="543"/>
      <c r="F49" s="128"/>
      <c r="G49" s="118">
        <f>SUM(G11:G48)</f>
        <v>9.4720349999999995E-2</v>
      </c>
      <c r="H49" s="118">
        <f>SUM(H11:H48)</f>
        <v>1.4940520614336632E-2</v>
      </c>
      <c r="I49" s="118">
        <f>SUM(I11:I48)</f>
        <v>9.4720349999999995E-2</v>
      </c>
      <c r="J49" s="118">
        <f>SUM(J11:J48)</f>
        <v>1.6427380086938968E-2</v>
      </c>
      <c r="K49" s="180">
        <f>MAX(G49:J49)</f>
        <v>9.4720349999999995E-2</v>
      </c>
      <c r="L49" s="180">
        <f>K49*8760/2000</f>
        <v>0.41487513300000001</v>
      </c>
      <c r="M49" s="415">
        <f>K49*8760/2000</f>
        <v>0.41487513300000001</v>
      </c>
      <c r="T49" s="168"/>
    </row>
    <row r="50" spans="1:20" s="136" customFormat="1" x14ac:dyDescent="0.2">
      <c r="A50" s="539"/>
      <c r="B50" s="178" t="s">
        <v>173</v>
      </c>
      <c r="C50" s="128">
        <v>5.0000000000000001E-4</v>
      </c>
      <c r="D50" s="128">
        <f>(0.000009)*$H$6/1000</f>
        <v>1.2600450000000001E-9</v>
      </c>
      <c r="E50" s="544"/>
      <c r="F50" s="128">
        <f>(0.000009)*$H$9/1000</f>
        <v>1.145997E-9</v>
      </c>
      <c r="G50" s="128">
        <f t="shared" ref="G50:G59" si="15">C50*$B$7</f>
        <v>2.5000000000000001E-5</v>
      </c>
      <c r="H50" s="128">
        <f t="shared" ref="H50:H59" si="16">D50*$B$6</f>
        <v>4.5900000000000007E-10</v>
      </c>
      <c r="I50" s="128">
        <f>G50</f>
        <v>2.5000000000000001E-5</v>
      </c>
      <c r="J50" s="128">
        <f>F50*$B$9</f>
        <v>4.5900000000000002E-10</v>
      </c>
      <c r="K50" s="181">
        <f>MAX(G50:J50)</f>
        <v>2.5000000000000001E-5</v>
      </c>
      <c r="L50" s="181">
        <f>K50*8760/2000</f>
        <v>1.0950000000000001E-4</v>
      </c>
      <c r="M50" s="416">
        <f t="shared" si="5"/>
        <v>1.0950000000000001E-4</v>
      </c>
      <c r="T50" s="168"/>
    </row>
    <row r="51" spans="1:20" s="136" customFormat="1" x14ac:dyDescent="0.2">
      <c r="A51" s="539"/>
      <c r="B51" s="178" t="s">
        <v>174</v>
      </c>
      <c r="C51" s="128">
        <v>7.6</v>
      </c>
      <c r="D51" s="128">
        <v>2</v>
      </c>
      <c r="E51" s="128">
        <v>0.7</v>
      </c>
      <c r="F51" s="128">
        <v>2</v>
      </c>
      <c r="G51" s="118">
        <f t="shared" si="15"/>
        <v>0.38</v>
      </c>
      <c r="H51" s="118">
        <f t="shared" si="16"/>
        <v>0.72854540909253251</v>
      </c>
      <c r="I51" s="118">
        <f t="shared" ref="I51:I60" si="17">E51*$B$8</f>
        <v>0.39016393442622943</v>
      </c>
      <c r="J51" s="118">
        <f>F51*$B$9</f>
        <v>0.80104921740632828</v>
      </c>
      <c r="K51" s="180">
        <f>MAX(G51:J51)</f>
        <v>0.80104921740632828</v>
      </c>
      <c r="L51" s="180">
        <f>K51*8760/2000</f>
        <v>3.508595572239718</v>
      </c>
      <c r="M51" s="415">
        <f>K51*8760/2000</f>
        <v>3.508595572239718</v>
      </c>
      <c r="T51" s="168"/>
    </row>
    <row r="52" spans="1:20" s="136" customFormat="1" ht="14.25" x14ac:dyDescent="0.25">
      <c r="A52" s="539"/>
      <c r="B52" s="178" t="s">
        <v>17</v>
      </c>
      <c r="C52" s="128">
        <v>7.6</v>
      </c>
      <c r="D52" s="128">
        <v>1</v>
      </c>
      <c r="E52" s="128">
        <v>0.7</v>
      </c>
      <c r="F52" s="128">
        <v>1</v>
      </c>
      <c r="G52" s="118">
        <f t="shared" si="15"/>
        <v>0.38</v>
      </c>
      <c r="H52" s="118">
        <f>D52*$B$6</f>
        <v>0.36427270454626626</v>
      </c>
      <c r="I52" s="118">
        <f t="shared" si="17"/>
        <v>0.39016393442622943</v>
      </c>
      <c r="J52" s="118">
        <f t="shared" ref="J52:J60" si="18">F52*$B$9</f>
        <v>0.40052460870316414</v>
      </c>
      <c r="K52" s="180">
        <f t="shared" ref="K52:K62" si="19">MAX(G52:J52)</f>
        <v>0.40052460870316414</v>
      </c>
      <c r="L52" s="180">
        <f t="shared" si="4"/>
        <v>1.754297786119859</v>
      </c>
      <c r="M52" s="415">
        <f t="shared" si="5"/>
        <v>1.754297786119859</v>
      </c>
      <c r="T52" s="168"/>
    </row>
    <row r="53" spans="1:20" s="136" customFormat="1" ht="14.25" x14ac:dyDescent="0.25">
      <c r="A53" s="539"/>
      <c r="B53" s="178" t="s">
        <v>16</v>
      </c>
      <c r="C53" s="128">
        <v>7.6</v>
      </c>
      <c r="D53" s="128">
        <v>0.25</v>
      </c>
      <c r="E53" s="128">
        <v>0.7</v>
      </c>
      <c r="F53" s="128">
        <v>0.25</v>
      </c>
      <c r="G53" s="118">
        <f t="shared" si="15"/>
        <v>0.38</v>
      </c>
      <c r="H53" s="118">
        <f>D53*$B$6</f>
        <v>9.1068176136566564E-2</v>
      </c>
      <c r="I53" s="118">
        <f t="shared" si="17"/>
        <v>0.39016393442622943</v>
      </c>
      <c r="J53" s="118">
        <f>F53*$B$9</f>
        <v>0.10013115217579104</v>
      </c>
      <c r="K53" s="180">
        <f t="shared" si="19"/>
        <v>0.39016393442622943</v>
      </c>
      <c r="L53" s="180">
        <f t="shared" si="4"/>
        <v>1.7089180327868849</v>
      </c>
      <c r="M53" s="415">
        <f t="shared" si="5"/>
        <v>1.7089180327868849</v>
      </c>
      <c r="O53" s="168"/>
      <c r="T53" s="168"/>
    </row>
    <row r="54" spans="1:20" s="136" customFormat="1" ht="14.25" x14ac:dyDescent="0.25">
      <c r="A54" s="539"/>
      <c r="B54" s="178" t="s">
        <v>253</v>
      </c>
      <c r="C54" s="128">
        <v>0.6</v>
      </c>
      <c r="D54" s="128">
        <f>142*L6</f>
        <v>0.21299999999999999</v>
      </c>
      <c r="E54" s="371">
        <f>0.1*L8</f>
        <v>1.5</v>
      </c>
      <c r="F54" s="128">
        <f>142*L9</f>
        <v>14.200000000000001</v>
      </c>
      <c r="G54" s="409">
        <f t="shared" si="15"/>
        <v>0.03</v>
      </c>
      <c r="H54" s="409">
        <f t="shared" si="16"/>
        <v>7.7590086068354713E-2</v>
      </c>
      <c r="I54" s="118">
        <f t="shared" si="17"/>
        <v>0.83606557377049173</v>
      </c>
      <c r="J54" s="118">
        <f>F54*$B$9</f>
        <v>5.6874494435849314</v>
      </c>
      <c r="K54" s="184">
        <f t="shared" si="19"/>
        <v>5.6874494435849314</v>
      </c>
      <c r="L54" s="184">
        <f t="shared" si="4"/>
        <v>24.911028562902001</v>
      </c>
      <c r="M54" s="415">
        <f t="shared" si="5"/>
        <v>24.911028562902001</v>
      </c>
      <c r="T54" s="168"/>
    </row>
    <row r="55" spans="1:20" s="136" customFormat="1" x14ac:dyDescent="0.2">
      <c r="A55" s="539"/>
      <c r="B55" s="178" t="s">
        <v>178</v>
      </c>
      <c r="C55" s="128">
        <v>100</v>
      </c>
      <c r="D55" s="128">
        <v>20</v>
      </c>
      <c r="E55" s="128">
        <v>13</v>
      </c>
      <c r="F55" s="128">
        <v>20</v>
      </c>
      <c r="G55" s="409">
        <f t="shared" si="15"/>
        <v>5</v>
      </c>
      <c r="H55" s="409">
        <f t="shared" si="16"/>
        <v>7.2854540909253256</v>
      </c>
      <c r="I55" s="118">
        <f t="shared" si="17"/>
        <v>7.2459016393442619</v>
      </c>
      <c r="J55" s="118">
        <f>F55*$B$9</f>
        <v>8.0104921740632822</v>
      </c>
      <c r="K55" s="184">
        <f t="shared" si="19"/>
        <v>8.0104921740632822</v>
      </c>
      <c r="L55" s="184">
        <f t="shared" si="4"/>
        <v>35.085955722397181</v>
      </c>
      <c r="M55" s="415">
        <f t="shared" si="5"/>
        <v>35.085955722397181</v>
      </c>
      <c r="T55" s="168"/>
    </row>
    <row r="56" spans="1:20" s="136" customFormat="1" x14ac:dyDescent="0.2">
      <c r="A56" s="539"/>
      <c r="B56" s="178" t="s">
        <v>15</v>
      </c>
      <c r="C56" s="128">
        <v>5.5</v>
      </c>
      <c r="D56" s="128">
        <v>0.34</v>
      </c>
      <c r="E56" s="128">
        <f>1-0.2</f>
        <v>0.8</v>
      </c>
      <c r="F56" s="128">
        <v>0.34</v>
      </c>
      <c r="G56" s="409">
        <f t="shared" si="15"/>
        <v>0.27500000000000002</v>
      </c>
      <c r="H56" s="409">
        <f t="shared" si="16"/>
        <v>0.12385271954573053</v>
      </c>
      <c r="I56" s="118">
        <f t="shared" si="17"/>
        <v>0.4459016393442623</v>
      </c>
      <c r="J56" s="118">
        <f>F56*$B$9</f>
        <v>0.13617836695907581</v>
      </c>
      <c r="K56" s="184">
        <f t="shared" si="19"/>
        <v>0.4459016393442623</v>
      </c>
      <c r="L56" s="184">
        <f>K56*8760/2000</f>
        <v>1.9530491803278689</v>
      </c>
      <c r="M56" s="415">
        <f t="shared" si="5"/>
        <v>1.9530491803278689</v>
      </c>
      <c r="T56" s="168"/>
    </row>
    <row r="57" spans="1:20" s="136" customFormat="1" x14ac:dyDescent="0.2">
      <c r="A57" s="539"/>
      <c r="B57" s="178" t="s">
        <v>215</v>
      </c>
      <c r="C57" s="128">
        <v>84</v>
      </c>
      <c r="D57" s="131">
        <v>5</v>
      </c>
      <c r="E57" s="128">
        <v>7.5</v>
      </c>
      <c r="F57" s="131">
        <v>5</v>
      </c>
      <c r="G57" s="409">
        <f t="shared" si="15"/>
        <v>4.2</v>
      </c>
      <c r="H57" s="409">
        <f t="shared" si="16"/>
        <v>1.8213635227313314</v>
      </c>
      <c r="I57" s="118">
        <f t="shared" si="17"/>
        <v>4.1803278688524586</v>
      </c>
      <c r="J57" s="118">
        <f>F57*$B$9</f>
        <v>2.0026230435158205</v>
      </c>
      <c r="K57" s="184">
        <f t="shared" si="19"/>
        <v>4.2</v>
      </c>
      <c r="L57" s="184">
        <f t="shared" si="4"/>
        <v>18.396000000000001</v>
      </c>
      <c r="M57" s="415">
        <f t="shared" ref="M57:M62" si="20">K57*8760/2000</f>
        <v>18.396000000000001</v>
      </c>
      <c r="T57" s="171"/>
    </row>
    <row r="58" spans="1:20" s="136" customFormat="1" ht="14.25" x14ac:dyDescent="0.25">
      <c r="A58" s="539"/>
      <c r="B58" s="178" t="s">
        <v>273</v>
      </c>
      <c r="C58" s="128">
        <v>120000</v>
      </c>
      <c r="D58" s="128">
        <v>22300</v>
      </c>
      <c r="E58" s="128">
        <v>12500</v>
      </c>
      <c r="F58" s="128">
        <v>22300</v>
      </c>
      <c r="G58" s="368">
        <f t="shared" si="15"/>
        <v>6000</v>
      </c>
      <c r="H58" s="368">
        <f t="shared" si="16"/>
        <v>8123.2813113817374</v>
      </c>
      <c r="I58" s="368">
        <f t="shared" si="17"/>
        <v>6967.2131147540977</v>
      </c>
      <c r="J58" s="368">
        <f t="shared" si="18"/>
        <v>8931.6987740805598</v>
      </c>
      <c r="K58" s="182">
        <f t="shared" si="19"/>
        <v>8931.6987740805598</v>
      </c>
      <c r="L58" s="182">
        <f>K58*8760/2000</f>
        <v>39120.840630472856</v>
      </c>
      <c r="M58" s="417">
        <f t="shared" si="20"/>
        <v>39120.840630472856</v>
      </c>
      <c r="O58" s="133"/>
      <c r="P58" s="114"/>
      <c r="R58" s="172"/>
      <c r="S58" s="172"/>
      <c r="T58" s="172"/>
    </row>
    <row r="59" spans="1:20" s="136" customFormat="1" ht="14.25" x14ac:dyDescent="0.25">
      <c r="A59" s="539"/>
      <c r="B59" s="178" t="s">
        <v>274</v>
      </c>
      <c r="C59" s="128">
        <v>2.2999999999999998</v>
      </c>
      <c r="D59" s="128">
        <v>5.1999999999999998E-2</v>
      </c>
      <c r="E59" s="128">
        <v>0.2</v>
      </c>
      <c r="F59" s="128">
        <v>5.1999999999999998E-2</v>
      </c>
      <c r="G59" s="118">
        <f t="shared" si="15"/>
        <v>0.11499999999999999</v>
      </c>
      <c r="H59" s="118">
        <f t="shared" si="16"/>
        <v>1.8942180636405844E-2</v>
      </c>
      <c r="I59" s="118">
        <f t="shared" si="17"/>
        <v>0.11147540983606558</v>
      </c>
      <c r="J59" s="118">
        <f>F59*$B$9</f>
        <v>2.0827279652564534E-2</v>
      </c>
      <c r="K59" s="180">
        <f t="shared" si="19"/>
        <v>0.11499999999999999</v>
      </c>
      <c r="L59" s="180">
        <f t="shared" si="4"/>
        <v>0.50370000000000004</v>
      </c>
      <c r="M59" s="415">
        <f t="shared" si="20"/>
        <v>0.50370000000000004</v>
      </c>
      <c r="O59" s="133"/>
      <c r="P59" s="114"/>
      <c r="R59" s="172"/>
      <c r="S59" s="172"/>
      <c r="T59" s="172"/>
    </row>
    <row r="60" spans="1:20" s="136" customFormat="1" ht="14.25" x14ac:dyDescent="0.25">
      <c r="A60" s="539"/>
      <c r="B60" s="178" t="s">
        <v>275</v>
      </c>
      <c r="C60" s="128">
        <v>2.2000000000000002</v>
      </c>
      <c r="D60" s="128">
        <v>0.26</v>
      </c>
      <c r="E60" s="128">
        <v>0.9</v>
      </c>
      <c r="F60" s="128">
        <v>0.26</v>
      </c>
      <c r="G60" s="118">
        <f>C60*$B$7</f>
        <v>0.11000000000000001</v>
      </c>
      <c r="H60" s="118">
        <f>D60*$B$6</f>
        <v>9.4710903182029224E-2</v>
      </c>
      <c r="I60" s="118">
        <f t="shared" si="17"/>
        <v>0.50163934426229506</v>
      </c>
      <c r="J60" s="118">
        <f t="shared" si="18"/>
        <v>0.10413639826282269</v>
      </c>
      <c r="K60" s="180">
        <f t="shared" si="19"/>
        <v>0.50163934426229506</v>
      </c>
      <c r="L60" s="180">
        <f t="shared" si="4"/>
        <v>2.197180327868852</v>
      </c>
      <c r="M60" s="415">
        <f t="shared" si="20"/>
        <v>2.197180327868852</v>
      </c>
      <c r="O60" s="133"/>
      <c r="P60" s="114"/>
      <c r="R60" s="172"/>
      <c r="S60" s="172"/>
      <c r="T60" s="172"/>
    </row>
    <row r="61" spans="1:20" s="136" customFormat="1" x14ac:dyDescent="0.2">
      <c r="A61" s="539"/>
      <c r="B61" s="178" t="s">
        <v>184</v>
      </c>
      <c r="C61" s="128"/>
      <c r="D61" s="128"/>
      <c r="E61" s="128"/>
      <c r="F61" s="128"/>
      <c r="G61" s="368">
        <f t="shared" ref="G61:H61" si="21">SUM(G58:G60)</f>
        <v>6000.2249999999995</v>
      </c>
      <c r="H61" s="368">
        <f t="shared" si="21"/>
        <v>8123.3949644655559</v>
      </c>
      <c r="I61" s="368">
        <f t="shared" ref="I61" si="22">SUM(I58:I60)</f>
        <v>6967.8262295081959</v>
      </c>
      <c r="J61" s="368">
        <f>SUM(J58:J60)</f>
        <v>8931.8237377584737</v>
      </c>
      <c r="K61" s="182">
        <f t="shared" si="19"/>
        <v>8931.8237377584737</v>
      </c>
      <c r="L61" s="182">
        <f t="shared" si="4"/>
        <v>39121.387971382108</v>
      </c>
      <c r="M61" s="417">
        <f t="shared" si="20"/>
        <v>39121.387971382108</v>
      </c>
      <c r="O61" s="133"/>
      <c r="P61" s="114"/>
      <c r="R61" s="172"/>
      <c r="S61" s="172"/>
      <c r="T61" s="172"/>
    </row>
    <row r="62" spans="1:20" s="136" customFormat="1" ht="15" thickBot="1" x14ac:dyDescent="0.3">
      <c r="A62" s="540"/>
      <c r="B62" s="418" t="s">
        <v>254</v>
      </c>
      <c r="C62" s="419"/>
      <c r="D62" s="419"/>
      <c r="E62" s="419"/>
      <c r="F62" s="419"/>
      <c r="G62" s="420">
        <f t="shared" ref="G62" si="23">G58+(G59*21)+(G60*310)</f>
        <v>6036.5150000000003</v>
      </c>
      <c r="H62" s="420">
        <f>H58+(H59*21)+(H60*310)</f>
        <v>8153.0394771615311</v>
      </c>
      <c r="I62" s="420">
        <f>I58+(I59*21)+(I60*310)</f>
        <v>7125.062295081967</v>
      </c>
      <c r="J62" s="420">
        <f>J58+(J59*21)+(J60*310)</f>
        <v>8964.4184304147384</v>
      </c>
      <c r="K62" s="421">
        <f t="shared" si="19"/>
        <v>8964.4184304147384</v>
      </c>
      <c r="L62" s="421">
        <f t="shared" si="4"/>
        <v>39264.152725216554</v>
      </c>
      <c r="M62" s="422">
        <f t="shared" si="20"/>
        <v>39264.152725216554</v>
      </c>
      <c r="O62" s="133"/>
      <c r="P62" s="114"/>
      <c r="R62" s="172"/>
      <c r="S62" s="172"/>
      <c r="T62" s="172"/>
    </row>
    <row r="63" spans="1:20" s="136" customFormat="1" x14ac:dyDescent="0.2">
      <c r="A63" s="370" t="s">
        <v>324</v>
      </c>
      <c r="B63" s="165"/>
      <c r="C63" s="402"/>
      <c r="D63" s="402"/>
      <c r="E63" s="402"/>
      <c r="F63" s="402"/>
      <c r="G63" s="403"/>
      <c r="H63" s="403"/>
      <c r="I63" s="403"/>
      <c r="J63" s="403"/>
      <c r="K63" s="404"/>
      <c r="L63" s="404"/>
      <c r="M63" s="405"/>
      <c r="O63" s="133"/>
      <c r="P63" s="114"/>
      <c r="R63" s="172"/>
      <c r="S63" s="172"/>
      <c r="T63" s="172"/>
    </row>
    <row r="64" spans="1:20" s="136" customFormat="1" ht="27.75" customHeight="1" x14ac:dyDescent="0.2">
      <c r="A64" s="541" t="s">
        <v>321</v>
      </c>
      <c r="B64" s="541"/>
      <c r="C64" s="541"/>
      <c r="D64" s="541"/>
      <c r="E64" s="541"/>
      <c r="F64" s="541"/>
      <c r="G64" s="541"/>
      <c r="H64" s="541"/>
      <c r="I64" s="541"/>
      <c r="J64" s="541"/>
      <c r="K64" s="541"/>
      <c r="L64" s="541"/>
      <c r="M64" s="541"/>
    </row>
    <row r="65" spans="1:18" s="130" customFormat="1" ht="18" x14ac:dyDescent="0.25">
      <c r="A65" s="536" t="s">
        <v>20</v>
      </c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</row>
    <row r="66" spans="1:18" s="130" customFormat="1" ht="15.75" x14ac:dyDescent="0.25">
      <c r="A66" s="537" t="s">
        <v>270</v>
      </c>
      <c r="B66" s="537"/>
      <c r="C66" s="537"/>
      <c r="D66" s="537"/>
      <c r="E66" s="537"/>
      <c r="F66" s="537"/>
      <c r="G66" s="537"/>
      <c r="H66" s="537"/>
      <c r="I66" s="537"/>
      <c r="J66" s="537"/>
      <c r="K66" s="537"/>
      <c r="L66" s="537"/>
      <c r="M66" s="537"/>
    </row>
    <row r="67" spans="1:18" s="130" customFormat="1" ht="15.75" x14ac:dyDescent="0.25">
      <c r="A67" s="537" t="s">
        <v>272</v>
      </c>
      <c r="B67" s="537"/>
      <c r="C67" s="537"/>
      <c r="D67" s="537"/>
      <c r="E67" s="537"/>
      <c r="F67" s="537"/>
      <c r="G67" s="537"/>
      <c r="H67" s="537"/>
      <c r="I67" s="537"/>
      <c r="J67" s="537"/>
      <c r="K67" s="537"/>
      <c r="L67" s="537"/>
      <c r="M67" s="537"/>
    </row>
    <row r="68" spans="1:18" s="136" customFormat="1" x14ac:dyDescent="0.2">
      <c r="A68" s="165" t="s">
        <v>116</v>
      </c>
      <c r="I68" s="137" t="s">
        <v>187</v>
      </c>
    </row>
    <row r="69" spans="1:18" s="136" customFormat="1" x14ac:dyDescent="0.2">
      <c r="A69" s="130" t="s">
        <v>117</v>
      </c>
      <c r="B69" s="130">
        <v>5</v>
      </c>
      <c r="C69" s="130" t="s">
        <v>63</v>
      </c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</row>
    <row r="70" spans="1:18" s="136" customFormat="1" x14ac:dyDescent="0.2">
      <c r="A70" s="130" t="s">
        <v>122</v>
      </c>
      <c r="B70" s="432">
        <f>B69/H70/1000</f>
        <v>3.5713010249633949E-2</v>
      </c>
      <c r="C70" s="130" t="s">
        <v>119</v>
      </c>
      <c r="D70" s="130"/>
      <c r="E70" s="130" t="s">
        <v>123</v>
      </c>
      <c r="F70" s="130"/>
      <c r="G70" s="130"/>
      <c r="H70" s="130">
        <f>140005/1000000</f>
        <v>0.14000499999999999</v>
      </c>
      <c r="I70" s="130" t="s">
        <v>121</v>
      </c>
      <c r="J70" s="130"/>
      <c r="K70" s="130" t="s">
        <v>259</v>
      </c>
      <c r="L70" s="167">
        <f>15/1000000*100</f>
        <v>1.5E-3</v>
      </c>
      <c r="M70" s="130" t="s">
        <v>258</v>
      </c>
      <c r="N70" s="130"/>
      <c r="O70" s="130"/>
      <c r="P70" s="130"/>
      <c r="Q70" s="130"/>
      <c r="R70" s="130"/>
    </row>
    <row r="71" spans="1:18" s="136" customFormat="1" x14ac:dyDescent="0.2">
      <c r="A71" s="130" t="s">
        <v>124</v>
      </c>
      <c r="B71" s="432">
        <f>B69/H71</f>
        <v>4.9019607843137254E-3</v>
      </c>
      <c r="C71" s="130" t="s">
        <v>125</v>
      </c>
      <c r="D71" s="130"/>
      <c r="E71" s="130" t="s">
        <v>126</v>
      </c>
      <c r="F71" s="130"/>
      <c r="G71" s="130"/>
      <c r="H71" s="130">
        <v>1020</v>
      </c>
      <c r="I71" s="130" t="s">
        <v>127</v>
      </c>
      <c r="J71" s="130"/>
      <c r="K71" s="130"/>
      <c r="L71" s="130"/>
      <c r="M71" s="130"/>
      <c r="N71" s="130"/>
      <c r="O71" s="130"/>
      <c r="P71" s="130"/>
      <c r="Q71" s="130"/>
      <c r="R71" s="130"/>
    </row>
    <row r="72" spans="1:18" s="136" customFormat="1" x14ac:dyDescent="0.2">
      <c r="A72" s="370" t="s">
        <v>314</v>
      </c>
      <c r="B72" s="432">
        <f>B69/H72/1000</f>
        <v>5.4644808743169397E-2</v>
      </c>
      <c r="C72" s="370" t="s">
        <v>119</v>
      </c>
      <c r="D72" s="130"/>
      <c r="E72" s="370" t="s">
        <v>315</v>
      </c>
      <c r="F72" s="130"/>
      <c r="G72" s="130"/>
      <c r="H72" s="130">
        <f>91.5/1000</f>
        <v>9.1499999999999998E-2</v>
      </c>
      <c r="I72" s="370" t="s">
        <v>121</v>
      </c>
      <c r="J72" s="130"/>
      <c r="K72" s="190" t="s">
        <v>318</v>
      </c>
      <c r="L72" s="130">
        <v>15</v>
      </c>
      <c r="M72" s="190" t="s">
        <v>322</v>
      </c>
      <c r="N72" s="130"/>
      <c r="O72" s="130"/>
      <c r="P72" s="130"/>
      <c r="Q72" s="130"/>
      <c r="R72" s="130"/>
    </row>
    <row r="73" spans="1:18" s="136" customFormat="1" ht="13.5" thickBot="1" x14ac:dyDescent="0.25">
      <c r="A73" s="134" t="s">
        <v>246</v>
      </c>
      <c r="B73" s="433">
        <f>B69/H73/1000</f>
        <v>3.9267118500310214E-2</v>
      </c>
      <c r="C73" s="134" t="s">
        <v>119</v>
      </c>
      <c r="D73" s="134"/>
      <c r="E73" s="134" t="s">
        <v>247</v>
      </c>
      <c r="F73" s="134"/>
      <c r="G73" s="134"/>
      <c r="H73" s="406">
        <f>127333/1000000</f>
        <v>0.127333</v>
      </c>
      <c r="I73" s="134" t="s">
        <v>121</v>
      </c>
      <c r="J73" s="134"/>
      <c r="K73" s="134" t="s">
        <v>263</v>
      </c>
      <c r="L73" s="407">
        <v>0.1</v>
      </c>
      <c r="M73" s="134" t="s">
        <v>258</v>
      </c>
      <c r="N73" s="134"/>
      <c r="O73" s="130"/>
      <c r="P73" s="130"/>
      <c r="Q73" s="130"/>
      <c r="R73" s="130"/>
    </row>
    <row r="74" spans="1:18" s="186" customFormat="1" ht="63.75" x14ac:dyDescent="0.2">
      <c r="A74" s="410" t="s">
        <v>128</v>
      </c>
      <c r="B74" s="411" t="s">
        <v>19</v>
      </c>
      <c r="C74" s="411" t="s">
        <v>129</v>
      </c>
      <c r="D74" s="411" t="s">
        <v>130</v>
      </c>
      <c r="E74" s="411" t="s">
        <v>320</v>
      </c>
      <c r="F74" s="411" t="s">
        <v>251</v>
      </c>
      <c r="G74" s="411" t="s">
        <v>132</v>
      </c>
      <c r="H74" s="411" t="s">
        <v>133</v>
      </c>
      <c r="I74" s="411" t="s">
        <v>313</v>
      </c>
      <c r="J74" s="411" t="s">
        <v>252</v>
      </c>
      <c r="K74" s="411" t="s">
        <v>135</v>
      </c>
      <c r="L74" s="411" t="s">
        <v>136</v>
      </c>
      <c r="M74" s="412" t="s">
        <v>137</v>
      </c>
    </row>
    <row r="75" spans="1:18" s="136" customFormat="1" x14ac:dyDescent="0.2">
      <c r="A75" s="538" t="s">
        <v>326</v>
      </c>
      <c r="B75" s="177" t="s">
        <v>139</v>
      </c>
      <c r="C75" s="128">
        <v>1.7999999999999999E-6</v>
      </c>
      <c r="D75" s="128">
        <v>2.1100000000000001E-5</v>
      </c>
      <c r="E75" s="542" t="s">
        <v>319</v>
      </c>
      <c r="F75" s="128">
        <v>2.1100000000000001E-5</v>
      </c>
      <c r="G75" s="128">
        <f>C75*$B$71</f>
        <v>8.823529411764706E-9</v>
      </c>
      <c r="H75" s="128">
        <f>D75*$B$70</f>
        <v>7.5354451626727636E-7</v>
      </c>
      <c r="I75" s="128">
        <f>G75</f>
        <v>8.823529411764706E-9</v>
      </c>
      <c r="J75" s="128">
        <f>F75*$B$73</f>
        <v>8.2853620035654551E-7</v>
      </c>
      <c r="K75" s="181">
        <f>MAX(G75:J75)</f>
        <v>8.2853620035654551E-7</v>
      </c>
      <c r="L75" s="181">
        <f t="shared" ref="L75:L102" si="24">K75*8760/2000</f>
        <v>3.628988557561669E-6</v>
      </c>
      <c r="M75" s="413">
        <f t="shared" ref="M75:M102" si="25">K75*8760/2000</f>
        <v>3.628988557561669E-6</v>
      </c>
      <c r="N75" s="130"/>
    </row>
    <row r="76" spans="1:18" s="136" customFormat="1" x14ac:dyDescent="0.2">
      <c r="A76" s="539"/>
      <c r="B76" s="177" t="s">
        <v>140</v>
      </c>
      <c r="C76" s="128">
        <v>1.7999999999999999E-6</v>
      </c>
      <c r="D76" s="128">
        <v>2.53E-7</v>
      </c>
      <c r="E76" s="543"/>
      <c r="F76" s="128">
        <v>2.53E-7</v>
      </c>
      <c r="G76" s="128">
        <f t="shared" ref="G76:G86" si="26">C76*$B$71</f>
        <v>8.823529411764706E-9</v>
      </c>
      <c r="H76" s="128">
        <f t="shared" ref="H76:H114" si="27">D76*$B$70</f>
        <v>9.0353915931573885E-9</v>
      </c>
      <c r="I76" s="128">
        <f t="shared" ref="I76:I87" si="28">G76</f>
        <v>8.823529411764706E-9</v>
      </c>
      <c r="J76" s="128">
        <f t="shared" ref="J76:J123" si="29">F76*$B$73</f>
        <v>9.9345809805784839E-9</v>
      </c>
      <c r="K76" s="181">
        <f t="shared" ref="K76:K111" si="30">MAX(G76:J76)</f>
        <v>9.9345809805784839E-9</v>
      </c>
      <c r="L76" s="181">
        <f t="shared" si="24"/>
        <v>4.3513464694933758E-8</v>
      </c>
      <c r="M76" s="413">
        <f t="shared" si="25"/>
        <v>4.3513464694933758E-8</v>
      </c>
      <c r="N76" s="130"/>
    </row>
    <row r="77" spans="1:18" s="136" customFormat="1" x14ac:dyDescent="0.2">
      <c r="A77" s="539"/>
      <c r="B77" s="177" t="s">
        <v>141</v>
      </c>
      <c r="C77" s="128">
        <v>2.3999999999999999E-6</v>
      </c>
      <c r="D77" s="128">
        <v>1.22E-6</v>
      </c>
      <c r="E77" s="543"/>
      <c r="F77" s="128">
        <v>1.22E-6</v>
      </c>
      <c r="G77" s="128">
        <f t="shared" si="26"/>
        <v>1.1764705882352941E-8</v>
      </c>
      <c r="H77" s="128">
        <f t="shared" si="27"/>
        <v>4.3569872504553417E-8</v>
      </c>
      <c r="I77" s="128">
        <f t="shared" si="28"/>
        <v>1.1764705882352941E-8</v>
      </c>
      <c r="J77" s="128">
        <f t="shared" si="29"/>
        <v>4.7905884570378462E-8</v>
      </c>
      <c r="K77" s="181">
        <f t="shared" si="30"/>
        <v>4.7905884570378462E-8</v>
      </c>
      <c r="L77" s="181">
        <f t="shared" si="24"/>
        <v>2.0982777441825766E-7</v>
      </c>
      <c r="M77" s="413">
        <f t="shared" si="25"/>
        <v>2.0982777441825766E-7</v>
      </c>
      <c r="N77" s="130"/>
    </row>
    <row r="78" spans="1:18" s="136" customFormat="1" x14ac:dyDescent="0.2">
      <c r="A78" s="539"/>
      <c r="B78" s="177" t="s">
        <v>142</v>
      </c>
      <c r="C78" s="128">
        <v>1.7999999999999999E-6</v>
      </c>
      <c r="D78" s="128">
        <v>4.0099999999999997E-6</v>
      </c>
      <c r="E78" s="543"/>
      <c r="F78" s="128">
        <v>4.0099999999999997E-6</v>
      </c>
      <c r="G78" s="128">
        <f t="shared" si="26"/>
        <v>8.823529411764706E-9</v>
      </c>
      <c r="H78" s="128">
        <f t="shared" si="27"/>
        <v>1.4320917110103211E-7</v>
      </c>
      <c r="I78" s="128">
        <f t="shared" si="28"/>
        <v>8.823529411764706E-9</v>
      </c>
      <c r="J78" s="128">
        <f t="shared" si="29"/>
        <v>1.5746114518624394E-7</v>
      </c>
      <c r="K78" s="181">
        <f t="shared" si="30"/>
        <v>1.5746114518624394E-7</v>
      </c>
      <c r="L78" s="181">
        <f t="shared" si="24"/>
        <v>6.8967981591574848E-7</v>
      </c>
      <c r="M78" s="413">
        <f t="shared" si="25"/>
        <v>6.8967981591574848E-7</v>
      </c>
      <c r="N78" s="134"/>
    </row>
    <row r="79" spans="1:18" s="136" customFormat="1" x14ac:dyDescent="0.2">
      <c r="A79" s="539"/>
      <c r="B79" s="177" t="s">
        <v>143</v>
      </c>
      <c r="C79" s="128">
        <v>2.0999999999999999E-3</v>
      </c>
      <c r="D79" s="128">
        <v>2.14E-4</v>
      </c>
      <c r="E79" s="543"/>
      <c r="F79" s="128">
        <v>2.14E-4</v>
      </c>
      <c r="G79" s="128">
        <f t="shared" si="26"/>
        <v>1.0294117647058823E-5</v>
      </c>
      <c r="H79" s="128">
        <f t="shared" si="27"/>
        <v>7.6425841934216658E-6</v>
      </c>
      <c r="I79" s="128">
        <f t="shared" si="28"/>
        <v>1.0294117647058823E-5</v>
      </c>
      <c r="J79" s="128">
        <f t="shared" si="29"/>
        <v>8.4031633590663854E-6</v>
      </c>
      <c r="K79" s="181">
        <f t="shared" si="30"/>
        <v>1.0294117647058823E-5</v>
      </c>
      <c r="L79" s="181">
        <f t="shared" si="24"/>
        <v>4.5088235294117644E-5</v>
      </c>
      <c r="M79" s="413">
        <f t="shared" si="25"/>
        <v>4.5088235294117644E-5</v>
      </c>
      <c r="N79" s="134"/>
    </row>
    <row r="80" spans="1:18" s="136" customFormat="1" x14ac:dyDescent="0.2">
      <c r="A80" s="539"/>
      <c r="B80" s="179" t="s">
        <v>144</v>
      </c>
      <c r="C80" s="128">
        <v>1.1999999999999999E-6</v>
      </c>
      <c r="D80" s="128"/>
      <c r="E80" s="543"/>
      <c r="F80" s="128"/>
      <c r="G80" s="128">
        <f t="shared" si="26"/>
        <v>5.8823529411764704E-9</v>
      </c>
      <c r="H80" s="128"/>
      <c r="I80" s="128">
        <f t="shared" si="28"/>
        <v>5.8823529411764704E-9</v>
      </c>
      <c r="J80" s="128"/>
      <c r="K80" s="181">
        <f t="shared" si="30"/>
        <v>5.8823529411764704E-9</v>
      </c>
      <c r="L80" s="181">
        <f t="shared" si="24"/>
        <v>2.5764705882352942E-8</v>
      </c>
      <c r="M80" s="413">
        <f t="shared" si="25"/>
        <v>2.5764705882352942E-8</v>
      </c>
      <c r="N80" s="134"/>
    </row>
    <row r="81" spans="1:14" s="136" customFormat="1" x14ac:dyDescent="0.2">
      <c r="A81" s="539"/>
      <c r="B81" s="177" t="s">
        <v>145</v>
      </c>
      <c r="C81" s="128">
        <v>1.7999999999999999E-6</v>
      </c>
      <c r="D81" s="128">
        <v>1.48E-6</v>
      </c>
      <c r="E81" s="543"/>
      <c r="F81" s="128">
        <v>1.48E-6</v>
      </c>
      <c r="G81" s="128">
        <f t="shared" si="26"/>
        <v>8.823529411764706E-9</v>
      </c>
      <c r="H81" s="128">
        <f t="shared" si="27"/>
        <v>5.2855255169458243E-8</v>
      </c>
      <c r="I81" s="128">
        <f t="shared" si="28"/>
        <v>8.823529411764706E-9</v>
      </c>
      <c r="J81" s="128">
        <f t="shared" si="29"/>
        <v>5.8115335380459114E-8</v>
      </c>
      <c r="K81" s="181">
        <f t="shared" si="30"/>
        <v>5.8115335380459114E-8</v>
      </c>
      <c r="L81" s="181">
        <f t="shared" si="24"/>
        <v>2.5454516896641092E-7</v>
      </c>
      <c r="M81" s="413">
        <f t="shared" si="25"/>
        <v>2.5454516896641092E-7</v>
      </c>
      <c r="N81" s="134"/>
    </row>
    <row r="82" spans="1:14" s="136" customFormat="1" x14ac:dyDescent="0.2">
      <c r="A82" s="539"/>
      <c r="B82" s="177" t="s">
        <v>146</v>
      </c>
      <c r="C82" s="128">
        <v>1.1999999999999999E-6</v>
      </c>
      <c r="D82" s="128">
        <v>2.26E-6</v>
      </c>
      <c r="E82" s="543"/>
      <c r="F82" s="128">
        <v>2.26E-6</v>
      </c>
      <c r="G82" s="128">
        <f t="shared" si="26"/>
        <v>5.8823529411764704E-9</v>
      </c>
      <c r="H82" s="128">
        <f t="shared" si="27"/>
        <v>8.0711403164172727E-8</v>
      </c>
      <c r="I82" s="128">
        <f t="shared" si="28"/>
        <v>5.8823529411764704E-9</v>
      </c>
      <c r="J82" s="128">
        <f t="shared" si="29"/>
        <v>8.8743687810701077E-8</v>
      </c>
      <c r="K82" s="181">
        <f t="shared" si="30"/>
        <v>8.8743687810701077E-8</v>
      </c>
      <c r="L82" s="181">
        <f t="shared" si="24"/>
        <v>3.8869735261087069E-7</v>
      </c>
      <c r="M82" s="413">
        <f t="shared" si="25"/>
        <v>3.8869735261087069E-7</v>
      </c>
      <c r="N82" s="134"/>
    </row>
    <row r="83" spans="1:14" s="136" customFormat="1" x14ac:dyDescent="0.2">
      <c r="A83" s="539"/>
      <c r="B83" s="177" t="s">
        <v>147</v>
      </c>
      <c r="C83" s="128">
        <v>1.7999999999999999E-6</v>
      </c>
      <c r="D83" s="128">
        <v>1.48E-6</v>
      </c>
      <c r="E83" s="543"/>
      <c r="F83" s="128">
        <v>1.48E-6</v>
      </c>
      <c r="G83" s="128">
        <f t="shared" si="26"/>
        <v>8.823529411764706E-9</v>
      </c>
      <c r="H83" s="128">
        <f t="shared" si="27"/>
        <v>5.2855255169458243E-8</v>
      </c>
      <c r="I83" s="128">
        <f t="shared" si="28"/>
        <v>8.823529411764706E-9</v>
      </c>
      <c r="J83" s="128">
        <f t="shared" si="29"/>
        <v>5.8115335380459114E-8</v>
      </c>
      <c r="K83" s="181">
        <f t="shared" si="30"/>
        <v>5.8115335380459114E-8</v>
      </c>
      <c r="L83" s="181">
        <f t="shared" si="24"/>
        <v>2.5454516896641092E-7</v>
      </c>
      <c r="M83" s="413">
        <f t="shared" si="25"/>
        <v>2.5454516896641092E-7</v>
      </c>
      <c r="N83" s="134"/>
    </row>
    <row r="84" spans="1:14" s="136" customFormat="1" x14ac:dyDescent="0.2">
      <c r="A84" s="539"/>
      <c r="B84" s="177" t="s">
        <v>148</v>
      </c>
      <c r="C84" s="128">
        <v>1.7999999999999999E-6</v>
      </c>
      <c r="D84" s="128">
        <v>2.3800000000000001E-6</v>
      </c>
      <c r="E84" s="543"/>
      <c r="F84" s="128">
        <v>2.3800000000000001E-6</v>
      </c>
      <c r="G84" s="128">
        <f t="shared" si="26"/>
        <v>8.823529411764706E-9</v>
      </c>
      <c r="H84" s="128">
        <f t="shared" si="27"/>
        <v>8.4996964394128803E-8</v>
      </c>
      <c r="I84" s="128">
        <f t="shared" si="28"/>
        <v>8.823529411764706E-9</v>
      </c>
      <c r="J84" s="128">
        <f t="shared" si="29"/>
        <v>9.3455742030738313E-8</v>
      </c>
      <c r="K84" s="181">
        <f t="shared" si="30"/>
        <v>9.3455742030738313E-8</v>
      </c>
      <c r="L84" s="181">
        <f>K84*8760/2000</f>
        <v>4.093361500946338E-7</v>
      </c>
      <c r="M84" s="413">
        <f t="shared" si="25"/>
        <v>4.093361500946338E-7</v>
      </c>
      <c r="N84" s="134"/>
    </row>
    <row r="85" spans="1:14" s="136" customFormat="1" x14ac:dyDescent="0.2">
      <c r="A85" s="539"/>
      <c r="B85" s="177" t="s">
        <v>149</v>
      </c>
      <c r="C85" s="128">
        <v>1.1999999999999999E-3</v>
      </c>
      <c r="D85" s="128">
        <v>1.6700000000000001E-6</v>
      </c>
      <c r="E85" s="543"/>
      <c r="F85" s="128">
        <v>1.6700000000000001E-6</v>
      </c>
      <c r="G85" s="128">
        <f t="shared" si="26"/>
        <v>5.8823529411764701E-6</v>
      </c>
      <c r="H85" s="128">
        <f t="shared" si="27"/>
        <v>5.9640727116888694E-8</v>
      </c>
      <c r="I85" s="128">
        <f t="shared" si="28"/>
        <v>5.8823529411764701E-6</v>
      </c>
      <c r="J85" s="128">
        <f t="shared" si="29"/>
        <v>6.5576087895518055E-8</v>
      </c>
      <c r="K85" s="181">
        <f t="shared" si="30"/>
        <v>5.8823529411764701E-6</v>
      </c>
      <c r="L85" s="181">
        <f t="shared" si="24"/>
        <v>2.5764705882352938E-5</v>
      </c>
      <c r="M85" s="413">
        <f t="shared" si="25"/>
        <v>2.5764705882352938E-5</v>
      </c>
      <c r="N85" s="134"/>
    </row>
    <row r="86" spans="1:14" s="136" customFormat="1" x14ac:dyDescent="0.2">
      <c r="A86" s="539"/>
      <c r="B86" s="177" t="s">
        <v>150</v>
      </c>
      <c r="C86" s="128">
        <v>1.1999999999999999E-3</v>
      </c>
      <c r="D86" s="128"/>
      <c r="E86" s="543"/>
      <c r="F86" s="128"/>
      <c r="G86" s="128">
        <f t="shared" si="26"/>
        <v>5.8823529411764701E-6</v>
      </c>
      <c r="H86" s="128"/>
      <c r="I86" s="128">
        <f t="shared" si="28"/>
        <v>5.8823529411764701E-6</v>
      </c>
      <c r="J86" s="128"/>
      <c r="K86" s="181">
        <f t="shared" si="30"/>
        <v>5.8823529411764701E-6</v>
      </c>
      <c r="L86" s="181">
        <f t="shared" si="24"/>
        <v>2.5764705882352938E-5</v>
      </c>
      <c r="M86" s="413">
        <f t="shared" si="25"/>
        <v>2.5764705882352938E-5</v>
      </c>
      <c r="N86" s="134"/>
    </row>
    <row r="87" spans="1:14" s="136" customFormat="1" x14ac:dyDescent="0.2">
      <c r="A87" s="539"/>
      <c r="B87" s="177" t="s">
        <v>242</v>
      </c>
      <c r="C87" s="128">
        <v>1.5999999999999999E-5</v>
      </c>
      <c r="D87" s="128"/>
      <c r="E87" s="543"/>
      <c r="F87" s="128"/>
      <c r="G87" s="128">
        <f>C87*$B$71</f>
        <v>7.8431372549019607E-8</v>
      </c>
      <c r="H87" s="128"/>
      <c r="I87" s="128">
        <f t="shared" si="28"/>
        <v>7.8431372549019607E-8</v>
      </c>
      <c r="J87" s="128"/>
      <c r="K87" s="181">
        <f t="shared" si="30"/>
        <v>7.8431372549019607E-8</v>
      </c>
      <c r="L87" s="181">
        <f>K87*8760/2000</f>
        <v>3.4352941176470583E-7</v>
      </c>
      <c r="M87" s="413">
        <f t="shared" ref="M87" si="31">K87*8760/2000</f>
        <v>3.4352941176470583E-7</v>
      </c>
      <c r="N87" s="134"/>
    </row>
    <row r="88" spans="1:14" s="136" customFormat="1" x14ac:dyDescent="0.2">
      <c r="A88" s="539"/>
      <c r="B88" s="177" t="s">
        <v>151</v>
      </c>
      <c r="C88" s="128"/>
      <c r="D88" s="128">
        <v>6.3600000000000001E-5</v>
      </c>
      <c r="E88" s="543"/>
      <c r="F88" s="128">
        <v>6.3600000000000001E-5</v>
      </c>
      <c r="G88" s="128"/>
      <c r="H88" s="128">
        <f t="shared" si="27"/>
        <v>2.2713474518767194E-6</v>
      </c>
      <c r="I88" s="128"/>
      <c r="J88" s="128">
        <f t="shared" si="29"/>
        <v>2.4973887366197298E-6</v>
      </c>
      <c r="K88" s="181">
        <f t="shared" si="30"/>
        <v>2.4973887366197298E-6</v>
      </c>
      <c r="L88" s="181">
        <f t="shared" si="24"/>
        <v>1.0938562666394416E-5</v>
      </c>
      <c r="M88" s="413">
        <f t="shared" si="25"/>
        <v>1.0938562666394416E-5</v>
      </c>
      <c r="N88" s="134"/>
    </row>
    <row r="89" spans="1:14" s="136" customFormat="1" x14ac:dyDescent="0.2">
      <c r="A89" s="539"/>
      <c r="B89" s="177" t="s">
        <v>152</v>
      </c>
      <c r="C89" s="128">
        <v>3.0000000000000001E-6</v>
      </c>
      <c r="D89" s="128">
        <v>4.8400000000000002E-6</v>
      </c>
      <c r="E89" s="543"/>
      <c r="F89" s="128">
        <v>4.8400000000000002E-6</v>
      </c>
      <c r="G89" s="128">
        <f>C89*$B$71</f>
        <v>1.4705882352941177E-8</v>
      </c>
      <c r="H89" s="128">
        <f t="shared" si="27"/>
        <v>1.7285096960822832E-7</v>
      </c>
      <c r="I89" s="128">
        <f t="shared" ref="I89:I97" si="32">G89</f>
        <v>1.4705882352941177E-8</v>
      </c>
      <c r="J89" s="128">
        <f t="shared" si="29"/>
        <v>1.9005285354150145E-7</v>
      </c>
      <c r="K89" s="181">
        <f t="shared" si="30"/>
        <v>1.9005285354150145E-7</v>
      </c>
      <c r="L89" s="181">
        <f t="shared" si="24"/>
        <v>8.3243149851177633E-7</v>
      </c>
      <c r="M89" s="413">
        <f t="shared" si="25"/>
        <v>8.3243149851177633E-7</v>
      </c>
      <c r="N89" s="134"/>
    </row>
    <row r="90" spans="1:14" s="136" customFormat="1" x14ac:dyDescent="0.2">
      <c r="A90" s="539"/>
      <c r="B90" s="177" t="s">
        <v>153</v>
      </c>
      <c r="C90" s="128">
        <v>2.7999999999999999E-6</v>
      </c>
      <c r="D90" s="128">
        <v>4.4700000000000004E-6</v>
      </c>
      <c r="E90" s="543"/>
      <c r="F90" s="128">
        <v>4.4700000000000004E-6</v>
      </c>
      <c r="G90" s="128">
        <f t="shared" ref="G90:G100" si="33">C90*$B$71</f>
        <v>1.3725490196078431E-8</v>
      </c>
      <c r="H90" s="128">
        <f t="shared" si="27"/>
        <v>1.5963715581586377E-7</v>
      </c>
      <c r="I90" s="128">
        <f t="shared" si="32"/>
        <v>1.3725490196078431E-8</v>
      </c>
      <c r="J90" s="128">
        <f t="shared" si="29"/>
        <v>1.7552401969638668E-7</v>
      </c>
      <c r="K90" s="181">
        <f t="shared" si="30"/>
        <v>1.7552401969638668E-7</v>
      </c>
      <c r="L90" s="181">
        <f t="shared" si="24"/>
        <v>7.6879520627017368E-7</v>
      </c>
      <c r="M90" s="413">
        <f t="shared" si="25"/>
        <v>7.6879520627017368E-7</v>
      </c>
      <c r="N90" s="134"/>
    </row>
    <row r="91" spans="1:14" s="136" customFormat="1" x14ac:dyDescent="0.2">
      <c r="A91" s="539"/>
      <c r="B91" s="177" t="s">
        <v>154</v>
      </c>
      <c r="C91" s="128">
        <v>7.4999999999999997E-2</v>
      </c>
      <c r="D91" s="128">
        <v>3.3000000000000002E-2</v>
      </c>
      <c r="E91" s="543"/>
      <c r="F91" s="128">
        <v>3.3000000000000002E-2</v>
      </c>
      <c r="G91" s="128">
        <f t="shared" si="33"/>
        <v>3.6764705882352941E-4</v>
      </c>
      <c r="H91" s="128">
        <f t="shared" si="27"/>
        <v>1.1785293382379203E-3</v>
      </c>
      <c r="I91" s="128">
        <f t="shared" si="32"/>
        <v>3.6764705882352941E-4</v>
      </c>
      <c r="J91" s="128">
        <f t="shared" si="29"/>
        <v>1.295814910510237E-3</v>
      </c>
      <c r="K91" s="181">
        <f t="shared" si="30"/>
        <v>1.295814910510237E-3</v>
      </c>
      <c r="L91" s="181">
        <f t="shared" si="24"/>
        <v>5.6756693080348385E-3</v>
      </c>
      <c r="M91" s="413">
        <f t="shared" si="25"/>
        <v>5.6756693080348385E-3</v>
      </c>
      <c r="N91" s="134"/>
    </row>
    <row r="92" spans="1:14" s="136" customFormat="1" x14ac:dyDescent="0.2">
      <c r="A92" s="539"/>
      <c r="B92" s="177" t="s">
        <v>155</v>
      </c>
      <c r="C92" s="128">
        <v>1.8</v>
      </c>
      <c r="D92" s="128"/>
      <c r="E92" s="543"/>
      <c r="F92" s="128"/>
      <c r="G92" s="128">
        <f t="shared" si="33"/>
        <v>8.8235294117647058E-3</v>
      </c>
      <c r="H92" s="128"/>
      <c r="I92" s="128">
        <f t="shared" si="32"/>
        <v>8.8235294117647058E-3</v>
      </c>
      <c r="J92" s="128"/>
      <c r="K92" s="181">
        <f t="shared" si="30"/>
        <v>8.8235294117647058E-3</v>
      </c>
      <c r="L92" s="181">
        <f t="shared" si="24"/>
        <v>3.8647058823529416E-2</v>
      </c>
      <c r="M92" s="414">
        <f t="shared" si="25"/>
        <v>3.8647058823529416E-2</v>
      </c>
      <c r="N92" s="134"/>
    </row>
    <row r="93" spans="1:14" s="136" customFormat="1" x14ac:dyDescent="0.2">
      <c r="A93" s="539"/>
      <c r="B93" s="177" t="s">
        <v>156</v>
      </c>
      <c r="C93" s="128">
        <v>1.7999999999999999E-6</v>
      </c>
      <c r="D93" s="128">
        <v>2.1399999999999998E-6</v>
      </c>
      <c r="E93" s="543"/>
      <c r="F93" s="128">
        <v>2.1399999999999998E-6</v>
      </c>
      <c r="G93" s="128">
        <f t="shared" si="33"/>
        <v>8.823529411764706E-9</v>
      </c>
      <c r="H93" s="128">
        <f t="shared" si="27"/>
        <v>7.642584193421665E-8</v>
      </c>
      <c r="I93" s="128">
        <f t="shared" si="32"/>
        <v>8.823529411764706E-9</v>
      </c>
      <c r="J93" s="128">
        <f t="shared" si="29"/>
        <v>8.4031633590663854E-8</v>
      </c>
      <c r="K93" s="181">
        <f t="shared" si="30"/>
        <v>8.4031633590663854E-8</v>
      </c>
      <c r="L93" s="181">
        <f t="shared" si="24"/>
        <v>3.680585551271077E-7</v>
      </c>
      <c r="M93" s="414">
        <f t="shared" si="25"/>
        <v>3.680585551271077E-7</v>
      </c>
      <c r="N93" s="134"/>
    </row>
    <row r="94" spans="1:14" s="136" customFormat="1" x14ac:dyDescent="0.2">
      <c r="A94" s="539"/>
      <c r="B94" s="177" t="s">
        <v>244</v>
      </c>
      <c r="C94" s="128">
        <v>2.4000000000000001E-5</v>
      </c>
      <c r="D94" s="128"/>
      <c r="E94" s="543"/>
      <c r="F94" s="128"/>
      <c r="G94" s="128">
        <f t="shared" si="33"/>
        <v>1.1764705882352942E-7</v>
      </c>
      <c r="H94" s="128"/>
      <c r="I94" s="128">
        <f t="shared" si="32"/>
        <v>1.1764705882352942E-7</v>
      </c>
      <c r="J94" s="128"/>
      <c r="K94" s="181">
        <f t="shared" si="30"/>
        <v>1.1764705882352942E-7</v>
      </c>
      <c r="L94" s="181">
        <f t="shared" ref="L94:L95" si="34">K94*8760/2000</f>
        <v>5.1529411764705885E-7</v>
      </c>
      <c r="M94" s="414">
        <f t="shared" ref="M94:M95" si="35">K94*8760/2000</f>
        <v>5.1529411764705885E-7</v>
      </c>
      <c r="N94" s="134"/>
    </row>
    <row r="95" spans="1:14" s="136" customFormat="1" x14ac:dyDescent="0.2">
      <c r="A95" s="539"/>
      <c r="B95" s="177" t="s">
        <v>245</v>
      </c>
      <c r="C95" s="128">
        <v>1.7999999999999999E-6</v>
      </c>
      <c r="D95" s="128"/>
      <c r="E95" s="543"/>
      <c r="F95" s="128"/>
      <c r="G95" s="128">
        <f t="shared" si="33"/>
        <v>8.823529411764706E-9</v>
      </c>
      <c r="H95" s="128"/>
      <c r="I95" s="128">
        <f t="shared" si="32"/>
        <v>8.823529411764706E-9</v>
      </c>
      <c r="J95" s="128"/>
      <c r="K95" s="181">
        <f t="shared" si="30"/>
        <v>8.823529411764706E-9</v>
      </c>
      <c r="L95" s="181">
        <f t="shared" si="34"/>
        <v>3.8647058823529411E-8</v>
      </c>
      <c r="M95" s="414">
        <f t="shared" si="35"/>
        <v>3.8647058823529411E-8</v>
      </c>
      <c r="N95" s="134"/>
    </row>
    <row r="96" spans="1:14" s="136" customFormat="1" x14ac:dyDescent="0.2">
      <c r="A96" s="539"/>
      <c r="B96" s="177" t="s">
        <v>157</v>
      </c>
      <c r="C96" s="128">
        <v>6.0999999999999997E-4</v>
      </c>
      <c r="D96" s="128">
        <v>1.1299999999999999E-3</v>
      </c>
      <c r="E96" s="543"/>
      <c r="F96" s="128">
        <v>1.1299999999999999E-3</v>
      </c>
      <c r="G96" s="128">
        <f t="shared" si="33"/>
        <v>2.9901960784313724E-6</v>
      </c>
      <c r="H96" s="128">
        <f t="shared" si="27"/>
        <v>4.0355701582086361E-5</v>
      </c>
      <c r="I96" s="128">
        <f t="shared" si="32"/>
        <v>2.9901960784313724E-6</v>
      </c>
      <c r="J96" s="128">
        <f t="shared" si="29"/>
        <v>4.4371843905350541E-5</v>
      </c>
      <c r="K96" s="181">
        <f t="shared" si="30"/>
        <v>4.4371843905350541E-5</v>
      </c>
      <c r="L96" s="181">
        <f t="shared" si="24"/>
        <v>1.9434867630543538E-4</v>
      </c>
      <c r="M96" s="414">
        <f t="shared" si="25"/>
        <v>1.9434867630543538E-4</v>
      </c>
      <c r="N96" s="134"/>
    </row>
    <row r="97" spans="1:16" s="136" customFormat="1" x14ac:dyDescent="0.2">
      <c r="A97" s="539"/>
      <c r="B97" s="177" t="s">
        <v>158</v>
      </c>
      <c r="C97" s="128">
        <v>1.7E-5</v>
      </c>
      <c r="D97" s="128">
        <v>1.0499999999999999E-5</v>
      </c>
      <c r="E97" s="543"/>
      <c r="F97" s="128">
        <v>1.0499999999999999E-5</v>
      </c>
      <c r="G97" s="128">
        <f t="shared" si="33"/>
        <v>8.3333333333333325E-8</v>
      </c>
      <c r="H97" s="128">
        <f t="shared" si="27"/>
        <v>3.7498660762115644E-7</v>
      </c>
      <c r="I97" s="128">
        <f t="shared" si="32"/>
        <v>8.3333333333333325E-8</v>
      </c>
      <c r="J97" s="128">
        <f t="shared" si="29"/>
        <v>4.123047442532572E-7</v>
      </c>
      <c r="K97" s="181">
        <f t="shared" si="30"/>
        <v>4.123047442532572E-7</v>
      </c>
      <c r="L97" s="181">
        <f t="shared" si="24"/>
        <v>1.8058947798292664E-6</v>
      </c>
      <c r="M97" s="414">
        <f t="shared" si="25"/>
        <v>1.8058947798292664E-6</v>
      </c>
      <c r="N97" s="134"/>
    </row>
    <row r="98" spans="1:16" s="136" customFormat="1" hidden="1" x14ac:dyDescent="0.2">
      <c r="A98" s="539"/>
      <c r="B98" s="177" t="s">
        <v>284</v>
      </c>
      <c r="C98" s="128"/>
      <c r="D98" s="128"/>
      <c r="E98" s="543"/>
      <c r="F98" s="128"/>
      <c r="G98" s="128">
        <f t="shared" si="33"/>
        <v>0</v>
      </c>
      <c r="H98" s="128">
        <f t="shared" si="27"/>
        <v>0</v>
      </c>
      <c r="I98" s="128"/>
      <c r="J98" s="128">
        <f t="shared" si="29"/>
        <v>0</v>
      </c>
      <c r="K98" s="181">
        <f t="shared" si="30"/>
        <v>0</v>
      </c>
      <c r="L98" s="181"/>
      <c r="M98" s="414"/>
      <c r="N98" s="134"/>
    </row>
    <row r="99" spans="1:16" s="136" customFormat="1" x14ac:dyDescent="0.2">
      <c r="A99" s="539"/>
      <c r="B99" s="177" t="s">
        <v>159</v>
      </c>
      <c r="C99" s="128">
        <v>5.0000000000000004E-6</v>
      </c>
      <c r="D99" s="128">
        <v>4.25E-6</v>
      </c>
      <c r="E99" s="543"/>
      <c r="F99" s="128">
        <v>4.25E-6</v>
      </c>
      <c r="G99" s="128">
        <f t="shared" si="33"/>
        <v>2.450980392156863E-8</v>
      </c>
      <c r="H99" s="128">
        <f t="shared" si="27"/>
        <v>1.5178029356094429E-7</v>
      </c>
      <c r="I99" s="128">
        <f t="shared" ref="I99:I100" si="36">G99</f>
        <v>2.450980392156863E-8</v>
      </c>
      <c r="J99" s="128">
        <f t="shared" si="29"/>
        <v>1.6688525362631842E-7</v>
      </c>
      <c r="K99" s="181">
        <f t="shared" si="30"/>
        <v>1.6688525362631842E-7</v>
      </c>
      <c r="L99" s="181">
        <f t="shared" si="24"/>
        <v>7.3095741088327458E-7</v>
      </c>
      <c r="M99" s="414">
        <f t="shared" si="25"/>
        <v>7.3095741088327458E-7</v>
      </c>
      <c r="N99" s="134"/>
    </row>
    <row r="100" spans="1:16" s="136" customFormat="1" x14ac:dyDescent="0.2">
      <c r="A100" s="539"/>
      <c r="B100" s="177" t="s">
        <v>160</v>
      </c>
      <c r="C100" s="128">
        <v>3.3999999999999998E-3</v>
      </c>
      <c r="D100" s="128">
        <v>6.1999999999999998E-3</v>
      </c>
      <c r="E100" s="543"/>
      <c r="F100" s="128">
        <v>6.1999999999999998E-3</v>
      </c>
      <c r="G100" s="128">
        <f t="shared" si="33"/>
        <v>1.6666666666666664E-5</v>
      </c>
      <c r="H100" s="128">
        <f t="shared" si="27"/>
        <v>2.2142066354773047E-4</v>
      </c>
      <c r="I100" s="128">
        <f t="shared" si="36"/>
        <v>1.6666666666666664E-5</v>
      </c>
      <c r="J100" s="128">
        <f t="shared" si="29"/>
        <v>2.434561347019233E-4</v>
      </c>
      <c r="K100" s="181">
        <f t="shared" si="30"/>
        <v>2.434561347019233E-4</v>
      </c>
      <c r="L100" s="181">
        <f t="shared" si="24"/>
        <v>1.066337869994424E-3</v>
      </c>
      <c r="M100" s="414">
        <f t="shared" si="25"/>
        <v>1.066337869994424E-3</v>
      </c>
      <c r="N100" s="134"/>
    </row>
    <row r="101" spans="1:16" s="136" customFormat="1" x14ac:dyDescent="0.2">
      <c r="A101" s="539"/>
      <c r="B101" s="177" t="s">
        <v>282</v>
      </c>
      <c r="C101" s="128"/>
      <c r="D101" s="128">
        <v>2.3599999999999999E-4</v>
      </c>
      <c r="E101" s="543"/>
      <c r="F101" s="128">
        <v>2.3599999999999999E-4</v>
      </c>
      <c r="G101" s="128"/>
      <c r="H101" s="128">
        <f t="shared" si="27"/>
        <v>8.4282704189136117E-6</v>
      </c>
      <c r="I101" s="128"/>
      <c r="J101" s="128">
        <f t="shared" si="29"/>
        <v>9.2670399660732106E-6</v>
      </c>
      <c r="K101" s="181">
        <f t="shared" si="30"/>
        <v>9.2670399660732106E-6</v>
      </c>
      <c r="L101" s="181">
        <f>K101*8760/2000</f>
        <v>4.058963505140066E-5</v>
      </c>
      <c r="M101" s="414">
        <f t="shared" ref="M101" si="37">K101*8760/2000</f>
        <v>4.058963505140066E-5</v>
      </c>
      <c r="N101" s="134"/>
    </row>
    <row r="102" spans="1:16" s="136" customFormat="1" x14ac:dyDescent="0.2">
      <c r="A102" s="539"/>
      <c r="B102" s="177" t="s">
        <v>161</v>
      </c>
      <c r="C102" s="128"/>
      <c r="D102" s="128">
        <v>1.0900000000000001E-4</v>
      </c>
      <c r="E102" s="543"/>
      <c r="F102" s="128">
        <v>1.0900000000000001E-4</v>
      </c>
      <c r="G102" s="128"/>
      <c r="H102" s="128">
        <f t="shared" si="27"/>
        <v>3.892718117210101E-6</v>
      </c>
      <c r="I102" s="128"/>
      <c r="J102" s="128">
        <f t="shared" si="29"/>
        <v>4.2801159165338133E-6</v>
      </c>
      <c r="K102" s="181">
        <f t="shared" si="30"/>
        <v>4.2801159165338133E-6</v>
      </c>
      <c r="L102" s="181">
        <f t="shared" si="24"/>
        <v>1.8746907714418102E-5</v>
      </c>
      <c r="M102" s="414">
        <f t="shared" si="25"/>
        <v>1.8746907714418102E-5</v>
      </c>
      <c r="N102" s="134"/>
    </row>
    <row r="103" spans="1:16" s="136" customFormat="1" x14ac:dyDescent="0.2">
      <c r="A103" s="539"/>
      <c r="B103" s="177" t="s">
        <v>162</v>
      </c>
      <c r="C103" s="128">
        <v>5.2500000000000003E-3</v>
      </c>
      <c r="D103" s="128"/>
      <c r="E103" s="543"/>
      <c r="F103" s="128"/>
      <c r="G103" s="128">
        <f t="shared" ref="G103:G124" si="38">C103*$B$71</f>
        <v>2.573529411764706E-5</v>
      </c>
      <c r="H103" s="128"/>
      <c r="I103" s="128">
        <f t="shared" ref="I103:I111" si="39">G103</f>
        <v>2.573529411764706E-5</v>
      </c>
      <c r="J103" s="128"/>
      <c r="K103" s="181">
        <f t="shared" si="30"/>
        <v>2.573529411764706E-5</v>
      </c>
      <c r="L103" s="181">
        <f>K103*8760/2000</f>
        <v>1.1272058823529412E-4</v>
      </c>
      <c r="M103" s="414">
        <f>K103*8760/2000</f>
        <v>1.1272058823529412E-4</v>
      </c>
      <c r="N103" s="134"/>
      <c r="P103" s="168"/>
    </row>
    <row r="104" spans="1:16" s="136" customFormat="1" x14ac:dyDescent="0.2">
      <c r="A104" s="539"/>
      <c r="B104" s="177" t="s">
        <v>163</v>
      </c>
      <c r="C104" s="128">
        <v>2.0000000000000001E-4</v>
      </c>
      <c r="D104" s="128">
        <f>(0.000004)*$H$6/1000</f>
        <v>5.6002E-10</v>
      </c>
      <c r="E104" s="543"/>
      <c r="F104" s="128">
        <f>(0.000004)*$H$6/1000</f>
        <v>5.6002E-10</v>
      </c>
      <c r="G104" s="128">
        <f t="shared" si="38"/>
        <v>9.8039215686274508E-7</v>
      </c>
      <c r="H104" s="128">
        <f t="shared" si="27"/>
        <v>2.0000000000000005E-11</v>
      </c>
      <c r="I104" s="128">
        <f t="shared" si="39"/>
        <v>9.8039215686274508E-7</v>
      </c>
      <c r="J104" s="128">
        <f t="shared" si="29"/>
        <v>2.1990371702543727E-11</v>
      </c>
      <c r="K104" s="181">
        <f t="shared" si="30"/>
        <v>9.8039215686274508E-7</v>
      </c>
      <c r="L104" s="181">
        <f>K104*8760/2000</f>
        <v>4.2941176470588233E-6</v>
      </c>
      <c r="M104" s="414">
        <f>K104*8760/2000</f>
        <v>4.2941176470588233E-6</v>
      </c>
      <c r="N104" s="134"/>
      <c r="P104" s="168"/>
    </row>
    <row r="105" spans="1:16" s="136" customFormat="1" x14ac:dyDescent="0.2">
      <c r="A105" s="539"/>
      <c r="B105" s="177" t="s">
        <v>164</v>
      </c>
      <c r="C105" s="128">
        <v>1.2E-5</v>
      </c>
      <c r="D105" s="128">
        <f>(0.000003)*$H$6/1000</f>
        <v>4.2001499999999997E-10</v>
      </c>
      <c r="E105" s="543"/>
      <c r="F105" s="128">
        <f>(0.000003)*$H$6/1000</f>
        <v>4.2001499999999997E-10</v>
      </c>
      <c r="G105" s="128">
        <f t="shared" si="38"/>
        <v>5.8823529411764709E-8</v>
      </c>
      <c r="H105" s="128">
        <f t="shared" si="27"/>
        <v>1.5000000000000003E-11</v>
      </c>
      <c r="I105" s="128">
        <f t="shared" si="39"/>
        <v>5.8823529411764709E-8</v>
      </c>
      <c r="J105" s="128">
        <f t="shared" si="29"/>
        <v>1.6492778776907794E-11</v>
      </c>
      <c r="K105" s="181">
        <f t="shared" si="30"/>
        <v>5.8823529411764709E-8</v>
      </c>
      <c r="L105" s="181">
        <f t="shared" ref="L105:L111" si="40">K105*8760/2000</f>
        <v>2.5764705882352943E-7</v>
      </c>
      <c r="M105" s="414">
        <f t="shared" ref="M105:M111" si="41">K105*8760/2000</f>
        <v>2.5764705882352943E-7</v>
      </c>
      <c r="N105" s="134"/>
      <c r="P105" s="168"/>
    </row>
    <row r="106" spans="1:16" s="136" customFormat="1" x14ac:dyDescent="0.2">
      <c r="A106" s="539"/>
      <c r="B106" s="177" t="s">
        <v>165</v>
      </c>
      <c r="C106" s="128">
        <v>1.1000000000000001E-3</v>
      </c>
      <c r="D106" s="128">
        <f>(0.000003)*$H$6/1000</f>
        <v>4.2001499999999997E-10</v>
      </c>
      <c r="E106" s="543"/>
      <c r="F106" s="128">
        <f>(0.000003)*$H$6/1000</f>
        <v>4.2001499999999997E-10</v>
      </c>
      <c r="G106" s="128">
        <f t="shared" si="38"/>
        <v>5.3921568627450987E-6</v>
      </c>
      <c r="H106" s="128">
        <f t="shared" si="27"/>
        <v>1.5000000000000003E-11</v>
      </c>
      <c r="I106" s="128">
        <f t="shared" si="39"/>
        <v>5.3921568627450987E-6</v>
      </c>
      <c r="J106" s="128">
        <f t="shared" si="29"/>
        <v>1.6492778776907794E-11</v>
      </c>
      <c r="K106" s="181">
        <f t="shared" si="30"/>
        <v>5.3921568627450987E-6</v>
      </c>
      <c r="L106" s="181">
        <f t="shared" si="40"/>
        <v>2.3617647058823532E-5</v>
      </c>
      <c r="M106" s="414">
        <f t="shared" si="41"/>
        <v>2.3617647058823532E-5</v>
      </c>
      <c r="N106" s="134"/>
      <c r="P106" s="168"/>
    </row>
    <row r="107" spans="1:16" s="136" customFormat="1" x14ac:dyDescent="0.2">
      <c r="A107" s="539"/>
      <c r="B107" s="177" t="s">
        <v>166</v>
      </c>
      <c r="C107" s="128">
        <v>1.4E-3</v>
      </c>
      <c r="D107" s="128">
        <f>(0.000003)*$H$6/1000</f>
        <v>4.2001499999999997E-10</v>
      </c>
      <c r="E107" s="543"/>
      <c r="F107" s="128">
        <f>(0.000003)*$H$6/1000</f>
        <v>4.2001499999999997E-10</v>
      </c>
      <c r="G107" s="128">
        <f t="shared" si="38"/>
        <v>6.8627450980392154E-6</v>
      </c>
      <c r="H107" s="128">
        <f t="shared" si="27"/>
        <v>1.5000000000000003E-11</v>
      </c>
      <c r="I107" s="128">
        <f t="shared" si="39"/>
        <v>6.8627450980392154E-6</v>
      </c>
      <c r="J107" s="128">
        <f t="shared" si="29"/>
        <v>1.6492778776907794E-11</v>
      </c>
      <c r="K107" s="181">
        <f t="shared" si="30"/>
        <v>6.8627450980392154E-6</v>
      </c>
      <c r="L107" s="181">
        <f t="shared" si="40"/>
        <v>3.0058823529411764E-5</v>
      </c>
      <c r="M107" s="414">
        <f t="shared" si="41"/>
        <v>3.0058823529411764E-5</v>
      </c>
      <c r="N107" s="134"/>
      <c r="P107" s="168"/>
    </row>
    <row r="108" spans="1:16" s="136" customFormat="1" x14ac:dyDescent="0.2">
      <c r="A108" s="539"/>
      <c r="B108" s="177" t="s">
        <v>167</v>
      </c>
      <c r="C108" s="128">
        <v>8.3999999999999995E-5</v>
      </c>
      <c r="D108" s="128"/>
      <c r="E108" s="543"/>
      <c r="F108" s="128"/>
      <c r="G108" s="128">
        <f t="shared" si="38"/>
        <v>4.1176470588235289E-7</v>
      </c>
      <c r="H108" s="128"/>
      <c r="I108" s="128">
        <f t="shared" si="39"/>
        <v>4.1176470588235289E-7</v>
      </c>
      <c r="J108" s="128"/>
      <c r="K108" s="181">
        <f t="shared" si="30"/>
        <v>4.1176470588235289E-7</v>
      </c>
      <c r="L108" s="181">
        <f t="shared" si="40"/>
        <v>1.8035294117647058E-6</v>
      </c>
      <c r="M108" s="414">
        <f t="shared" si="41"/>
        <v>1.8035294117647058E-6</v>
      </c>
      <c r="N108" s="134"/>
      <c r="P108" s="168"/>
    </row>
    <row r="109" spans="1:16" s="136" customFormat="1" x14ac:dyDescent="0.2">
      <c r="A109" s="539"/>
      <c r="B109" s="177" t="s">
        <v>168</v>
      </c>
      <c r="C109" s="128">
        <v>3.8000000000000002E-4</v>
      </c>
      <c r="D109" s="128">
        <f>(0.000006)*$H$6/1000</f>
        <v>8.4002999999999994E-10</v>
      </c>
      <c r="E109" s="543"/>
      <c r="F109" s="128">
        <f>(0.000006)*$H$6/1000</f>
        <v>8.4002999999999994E-10</v>
      </c>
      <c r="G109" s="128">
        <f t="shared" si="38"/>
        <v>1.8627450980392158E-6</v>
      </c>
      <c r="H109" s="128">
        <f t="shared" si="27"/>
        <v>3.0000000000000006E-11</v>
      </c>
      <c r="I109" s="128">
        <f t="shared" si="39"/>
        <v>1.8627450980392158E-6</v>
      </c>
      <c r="J109" s="128">
        <f t="shared" si="29"/>
        <v>3.2985557553815587E-11</v>
      </c>
      <c r="K109" s="181">
        <f t="shared" si="30"/>
        <v>1.8627450980392158E-6</v>
      </c>
      <c r="L109" s="181">
        <f t="shared" si="40"/>
        <v>8.1588235294117654E-6</v>
      </c>
      <c r="M109" s="414">
        <f t="shared" si="41"/>
        <v>8.1588235294117654E-6</v>
      </c>
      <c r="N109" s="134"/>
      <c r="P109" s="130"/>
    </row>
    <row r="110" spans="1:16" s="136" customFormat="1" x14ac:dyDescent="0.2">
      <c r="A110" s="539"/>
      <c r="B110" s="177" t="s">
        <v>169</v>
      </c>
      <c r="C110" s="131">
        <v>2.5999999999999998E-4</v>
      </c>
      <c r="D110" s="128">
        <f>(0.000003)*$H$6/1000</f>
        <v>4.2001499999999997E-10</v>
      </c>
      <c r="E110" s="543"/>
      <c r="F110" s="128">
        <f>(0.000003)*$H$6/1000</f>
        <v>4.2001499999999997E-10</v>
      </c>
      <c r="G110" s="128">
        <f t="shared" si="38"/>
        <v>1.2745098039215686E-6</v>
      </c>
      <c r="H110" s="128">
        <f t="shared" si="27"/>
        <v>1.5000000000000003E-11</v>
      </c>
      <c r="I110" s="128">
        <f t="shared" si="39"/>
        <v>1.2745098039215686E-6</v>
      </c>
      <c r="J110" s="128">
        <f t="shared" si="29"/>
        <v>1.6492778776907794E-11</v>
      </c>
      <c r="K110" s="181">
        <f t="shared" si="30"/>
        <v>1.2745098039215686E-6</v>
      </c>
      <c r="L110" s="185">
        <f t="shared" si="40"/>
        <v>5.5823529411764704E-6</v>
      </c>
      <c r="M110" s="414">
        <f t="shared" si="41"/>
        <v>5.5823529411764704E-6</v>
      </c>
      <c r="N110" s="134"/>
      <c r="O110" s="130"/>
      <c r="P110" s="169"/>
    </row>
    <row r="111" spans="1:16" s="136" customFormat="1" x14ac:dyDescent="0.2">
      <c r="A111" s="539"/>
      <c r="B111" s="177" t="s">
        <v>170</v>
      </c>
      <c r="C111" s="128">
        <v>2.0999999999999999E-3</v>
      </c>
      <c r="D111" s="128">
        <f>(0.000003)*$H$6/1000</f>
        <v>4.2001499999999997E-10</v>
      </c>
      <c r="E111" s="543"/>
      <c r="F111" s="128">
        <f>(0.000003)*$H$6/1000</f>
        <v>4.2001499999999997E-10</v>
      </c>
      <c r="G111" s="128">
        <f t="shared" si="38"/>
        <v>1.0294117647058823E-5</v>
      </c>
      <c r="H111" s="128">
        <f t="shared" si="27"/>
        <v>1.5000000000000003E-11</v>
      </c>
      <c r="I111" s="128">
        <f t="shared" si="39"/>
        <v>1.0294117647058823E-5</v>
      </c>
      <c r="J111" s="128">
        <f t="shared" si="29"/>
        <v>1.6492778776907794E-11</v>
      </c>
      <c r="K111" s="181">
        <f t="shared" si="30"/>
        <v>1.0294117647058823E-5</v>
      </c>
      <c r="L111" s="181">
        <f t="shared" si="40"/>
        <v>4.5088235294117644E-5</v>
      </c>
      <c r="M111" s="414">
        <f t="shared" si="41"/>
        <v>4.5088235294117644E-5</v>
      </c>
      <c r="N111" s="134"/>
      <c r="P111" s="168"/>
    </row>
    <row r="112" spans="1:16" s="136" customFormat="1" x14ac:dyDescent="0.2">
      <c r="A112" s="539"/>
      <c r="B112" s="177" t="s">
        <v>171</v>
      </c>
      <c r="C112" s="128">
        <v>2.4000000000000001E-5</v>
      </c>
      <c r="D112" s="128">
        <f>(0.000015)*$H$6/1000</f>
        <v>2.1000750000000001E-9</v>
      </c>
      <c r="E112" s="543"/>
      <c r="F112" s="128">
        <f>(0.000015)*$H$6/1000</f>
        <v>2.1000750000000001E-9</v>
      </c>
      <c r="G112" s="128">
        <f t="shared" si="38"/>
        <v>1.1764705882352942E-7</v>
      </c>
      <c r="H112" s="128">
        <f t="shared" si="27"/>
        <v>7.5000000000000025E-11</v>
      </c>
      <c r="I112" s="128">
        <f>G112</f>
        <v>1.1764705882352942E-7</v>
      </c>
      <c r="J112" s="128">
        <f t="shared" si="29"/>
        <v>8.2463893884538981E-11</v>
      </c>
      <c r="K112" s="181">
        <f>MAX(G112:J112)</f>
        <v>1.1764705882352942E-7</v>
      </c>
      <c r="L112" s="181">
        <f>K112*8760/2000</f>
        <v>5.1529411764705885E-7</v>
      </c>
      <c r="M112" s="414">
        <f>K112*8760/2000</f>
        <v>5.1529411764705885E-7</v>
      </c>
      <c r="N112" s="134"/>
      <c r="P112" s="168"/>
    </row>
    <row r="113" spans="1:20" s="136" customFormat="1" x14ac:dyDescent="0.2">
      <c r="A113" s="539"/>
      <c r="B113" s="178" t="s">
        <v>172</v>
      </c>
      <c r="C113" s="128"/>
      <c r="D113" s="128"/>
      <c r="E113" s="543"/>
      <c r="F113" s="128"/>
      <c r="G113" s="118">
        <f>SUM(G75:G112)</f>
        <v>9.2863088235294114E-3</v>
      </c>
      <c r="H113" s="118">
        <f>SUM(H75:H112)</f>
        <v>1.4647569229741795E-3</v>
      </c>
      <c r="I113" s="118">
        <f>SUM(I75:I112)</f>
        <v>9.2863088235294114E-3</v>
      </c>
      <c r="J113" s="118">
        <f>SUM(J75:J112)</f>
        <v>1.6105274595038209E-3</v>
      </c>
      <c r="K113" s="180">
        <f>MAX(G113:J113)</f>
        <v>9.2863088235294114E-3</v>
      </c>
      <c r="L113" s="180">
        <f>K113*8760/2000</f>
        <v>4.0674032647058822E-2</v>
      </c>
      <c r="M113" s="415">
        <f>K113*8760/2000</f>
        <v>4.0674032647058822E-2</v>
      </c>
      <c r="N113" s="134"/>
      <c r="P113" s="168"/>
    </row>
    <row r="114" spans="1:20" s="136" customFormat="1" x14ac:dyDescent="0.2">
      <c r="A114" s="539"/>
      <c r="B114" s="178" t="s">
        <v>173</v>
      </c>
      <c r="C114" s="128">
        <v>5.0000000000000001E-4</v>
      </c>
      <c r="D114" s="128">
        <f>(0.000009)*$H$6/1000</f>
        <v>1.2600450000000001E-9</v>
      </c>
      <c r="E114" s="544"/>
      <c r="F114" s="128">
        <f>(0.000009)*$H$73/1000</f>
        <v>1.145997E-9</v>
      </c>
      <c r="G114" s="128">
        <f t="shared" si="38"/>
        <v>2.4509803921568628E-6</v>
      </c>
      <c r="H114" s="128">
        <f t="shared" si="27"/>
        <v>4.5000000000000013E-11</v>
      </c>
      <c r="I114" s="128">
        <f t="shared" ref="I114" si="42">G114</f>
        <v>2.4509803921568628E-6</v>
      </c>
      <c r="J114" s="128">
        <f>F114*$B$73</f>
        <v>4.5000000000000006E-11</v>
      </c>
      <c r="K114" s="181">
        <f>MAX(G114:J114)</f>
        <v>2.4509803921568628E-6</v>
      </c>
      <c r="L114" s="181">
        <f>K114*8760/2000</f>
        <v>1.073529411764706E-5</v>
      </c>
      <c r="M114" s="416">
        <f t="shared" ref="M114:M120" si="43">K114*8760/2000</f>
        <v>1.073529411764706E-5</v>
      </c>
      <c r="N114" s="168"/>
      <c r="P114" s="168"/>
    </row>
    <row r="115" spans="1:20" s="136" customFormat="1" x14ac:dyDescent="0.2">
      <c r="A115" s="539"/>
      <c r="B115" s="178" t="s">
        <v>174</v>
      </c>
      <c r="C115" s="128">
        <v>7.6</v>
      </c>
      <c r="D115" s="128">
        <v>2</v>
      </c>
      <c r="E115" s="128">
        <v>0.7</v>
      </c>
      <c r="F115" s="128">
        <v>2</v>
      </c>
      <c r="G115" s="118">
        <f t="shared" si="38"/>
        <v>3.7254901960784313E-2</v>
      </c>
      <c r="H115" s="118">
        <f>D115*$B$70</f>
        <v>7.1426020499267898E-2</v>
      </c>
      <c r="I115" s="118">
        <f>E115*$B$72</f>
        <v>3.8251366120218573E-2</v>
      </c>
      <c r="J115" s="118">
        <f t="shared" si="29"/>
        <v>7.8534237000620427E-2</v>
      </c>
      <c r="K115" s="180">
        <f>MAX(G115:J115)</f>
        <v>7.8534237000620427E-2</v>
      </c>
      <c r="L115" s="180">
        <f>K115*8760/2000</f>
        <v>0.34397995806271747</v>
      </c>
      <c r="M115" s="415">
        <f t="shared" si="43"/>
        <v>0.34397995806271747</v>
      </c>
      <c r="N115" s="168"/>
      <c r="O115" s="168"/>
      <c r="P115" s="168"/>
    </row>
    <row r="116" spans="1:20" s="136" customFormat="1" ht="14.25" x14ac:dyDescent="0.25">
      <c r="A116" s="539"/>
      <c r="B116" s="178" t="s">
        <v>17</v>
      </c>
      <c r="C116" s="128">
        <v>7.6</v>
      </c>
      <c r="D116" s="128">
        <v>1</v>
      </c>
      <c r="E116" s="128">
        <v>0.7</v>
      </c>
      <c r="F116" s="128">
        <v>1</v>
      </c>
      <c r="G116" s="118">
        <f t="shared" si="38"/>
        <v>3.7254901960784313E-2</v>
      </c>
      <c r="H116" s="118">
        <f t="shared" ref="H116:H121" si="44">D116*$B$70</f>
        <v>3.5713010249633949E-2</v>
      </c>
      <c r="I116" s="118">
        <f t="shared" ref="I116:I121" si="45">E116*$B$72</f>
        <v>3.8251366120218573E-2</v>
      </c>
      <c r="J116" s="118">
        <f t="shared" si="29"/>
        <v>3.9267118500310214E-2</v>
      </c>
      <c r="K116" s="180">
        <f t="shared" ref="K116:K125" si="46">MAX(G116:J116)</f>
        <v>3.9267118500310214E-2</v>
      </c>
      <c r="L116" s="180">
        <f t="shared" ref="L116:L119" si="47">K116*8760/2000</f>
        <v>0.17198997903135874</v>
      </c>
      <c r="M116" s="415">
        <f t="shared" si="43"/>
        <v>0.17198997903135874</v>
      </c>
      <c r="N116" s="168"/>
      <c r="O116" s="168"/>
      <c r="P116" s="168"/>
    </row>
    <row r="117" spans="1:20" s="136" customFormat="1" ht="14.25" x14ac:dyDescent="0.25">
      <c r="A117" s="539"/>
      <c r="B117" s="178" t="s">
        <v>16</v>
      </c>
      <c r="C117" s="128">
        <v>7.6</v>
      </c>
      <c r="D117" s="128">
        <v>0.25</v>
      </c>
      <c r="E117" s="128">
        <v>0.7</v>
      </c>
      <c r="F117" s="128">
        <v>0.25</v>
      </c>
      <c r="G117" s="118">
        <f t="shared" si="38"/>
        <v>3.7254901960784313E-2</v>
      </c>
      <c r="H117" s="118">
        <f t="shared" si="44"/>
        <v>8.9282525624084872E-3</v>
      </c>
      <c r="I117" s="118">
        <f t="shared" si="45"/>
        <v>3.8251366120218573E-2</v>
      </c>
      <c r="J117" s="118">
        <f t="shared" si="29"/>
        <v>9.8167796250775534E-3</v>
      </c>
      <c r="K117" s="180">
        <f t="shared" si="46"/>
        <v>3.8251366120218573E-2</v>
      </c>
      <c r="L117" s="180">
        <f t="shared" si="47"/>
        <v>0.16754098360655734</v>
      </c>
      <c r="M117" s="415">
        <f t="shared" si="43"/>
        <v>0.16754098360655734</v>
      </c>
      <c r="N117" s="168"/>
      <c r="O117" s="168"/>
      <c r="P117" s="168"/>
    </row>
    <row r="118" spans="1:20" s="136" customFormat="1" ht="14.25" x14ac:dyDescent="0.25">
      <c r="A118" s="539"/>
      <c r="B118" s="178" t="s">
        <v>253</v>
      </c>
      <c r="C118" s="128">
        <v>0.6</v>
      </c>
      <c r="D118" s="128">
        <f>142*L70</f>
        <v>0.21299999999999999</v>
      </c>
      <c r="E118" s="371">
        <f>0.1*L72</f>
        <v>1.5</v>
      </c>
      <c r="F118" s="128">
        <f>142*L73</f>
        <v>14.200000000000001</v>
      </c>
      <c r="G118" s="100">
        <f t="shared" si="38"/>
        <v>2.9411764705882353E-3</v>
      </c>
      <c r="H118" s="118">
        <f>D118*$B$70</f>
        <v>7.6068711831720308E-3</v>
      </c>
      <c r="I118" s="118">
        <f t="shared" si="45"/>
        <v>8.1967213114754092E-2</v>
      </c>
      <c r="J118" s="118">
        <f t="shared" si="29"/>
        <v>0.55759308270440511</v>
      </c>
      <c r="K118" s="184">
        <f t="shared" si="46"/>
        <v>0.55759308270440511</v>
      </c>
      <c r="L118" s="184">
        <f t="shared" si="47"/>
        <v>2.442257702245294</v>
      </c>
      <c r="M118" s="415">
        <f t="shared" si="43"/>
        <v>2.442257702245294</v>
      </c>
      <c r="N118" s="168"/>
      <c r="P118" s="168"/>
    </row>
    <row r="119" spans="1:20" s="136" customFormat="1" x14ac:dyDescent="0.2">
      <c r="A119" s="539"/>
      <c r="B119" s="178" t="s">
        <v>178</v>
      </c>
      <c r="C119" s="128">
        <v>100</v>
      </c>
      <c r="D119" s="128">
        <v>20</v>
      </c>
      <c r="E119" s="128">
        <v>13</v>
      </c>
      <c r="F119" s="128">
        <v>20</v>
      </c>
      <c r="G119" s="118">
        <f t="shared" si="38"/>
        <v>0.49019607843137253</v>
      </c>
      <c r="H119" s="118">
        <f t="shared" si="44"/>
        <v>0.71426020499267895</v>
      </c>
      <c r="I119" s="118">
        <f t="shared" si="45"/>
        <v>0.7103825136612022</v>
      </c>
      <c r="J119" s="118">
        <f t="shared" si="29"/>
        <v>0.78534237000620433</v>
      </c>
      <c r="K119" s="184">
        <f t="shared" si="46"/>
        <v>0.78534237000620433</v>
      </c>
      <c r="L119" s="184">
        <f t="shared" si="47"/>
        <v>3.4397995806271751</v>
      </c>
      <c r="M119" s="415">
        <f t="shared" si="43"/>
        <v>3.4397995806271751</v>
      </c>
      <c r="N119" s="168"/>
      <c r="P119" s="168"/>
    </row>
    <row r="120" spans="1:20" s="136" customFormat="1" x14ac:dyDescent="0.2">
      <c r="A120" s="539"/>
      <c r="B120" s="178" t="s">
        <v>15</v>
      </c>
      <c r="C120" s="128">
        <v>5.5</v>
      </c>
      <c r="D120" s="128">
        <v>0.34</v>
      </c>
      <c r="E120" s="128">
        <f>1-0.2</f>
        <v>0.8</v>
      </c>
      <c r="F120" s="128">
        <v>0.34</v>
      </c>
      <c r="G120" s="118">
        <f t="shared" si="38"/>
        <v>2.6960784313725492E-2</v>
      </c>
      <c r="H120" s="118">
        <f t="shared" si="44"/>
        <v>1.2142423484875544E-2</v>
      </c>
      <c r="I120" s="118">
        <f>E120*$B$72</f>
        <v>4.3715846994535519E-2</v>
      </c>
      <c r="J120" s="118">
        <f t="shared" si="29"/>
        <v>1.3350820290105474E-2</v>
      </c>
      <c r="K120" s="184">
        <f t="shared" si="46"/>
        <v>4.3715846994535519E-2</v>
      </c>
      <c r="L120" s="184">
        <f>K120*8760/2000</f>
        <v>0.19147540983606559</v>
      </c>
      <c r="M120" s="415">
        <f t="shared" si="43"/>
        <v>0.19147540983606559</v>
      </c>
      <c r="N120" s="168"/>
      <c r="P120" s="168"/>
    </row>
    <row r="121" spans="1:20" s="136" customFormat="1" x14ac:dyDescent="0.2">
      <c r="A121" s="539"/>
      <c r="B121" s="178" t="s">
        <v>215</v>
      </c>
      <c r="C121" s="128">
        <v>84</v>
      </c>
      <c r="D121" s="131">
        <v>5</v>
      </c>
      <c r="E121" s="128">
        <v>7.5</v>
      </c>
      <c r="F121" s="131">
        <v>5</v>
      </c>
      <c r="G121" s="118">
        <f t="shared" si="38"/>
        <v>0.41176470588235292</v>
      </c>
      <c r="H121" s="118">
        <f t="shared" si="44"/>
        <v>0.17856505124816974</v>
      </c>
      <c r="I121" s="118">
        <f t="shared" si="45"/>
        <v>0.4098360655737705</v>
      </c>
      <c r="J121" s="118">
        <f t="shared" si="29"/>
        <v>0.19633559250155108</v>
      </c>
      <c r="K121" s="184">
        <f t="shared" si="46"/>
        <v>0.41176470588235292</v>
      </c>
      <c r="L121" s="184">
        <f t="shared" ref="L121:L126" si="48">K121*8760/2000</f>
        <v>1.8035294117647058</v>
      </c>
      <c r="M121" s="415">
        <f t="shared" ref="M121:M126" si="49">K121*8760/2000</f>
        <v>1.8035294117647058</v>
      </c>
      <c r="N121" s="168"/>
      <c r="P121" s="168"/>
    </row>
    <row r="122" spans="1:20" s="136" customFormat="1" ht="14.25" x14ac:dyDescent="0.25">
      <c r="A122" s="539"/>
      <c r="B122" s="178" t="s">
        <v>273</v>
      </c>
      <c r="C122" s="128">
        <v>120000</v>
      </c>
      <c r="D122" s="128">
        <v>22300</v>
      </c>
      <c r="E122" s="128">
        <v>12500</v>
      </c>
      <c r="F122" s="128">
        <v>22300</v>
      </c>
      <c r="G122" s="368">
        <f>C122*$B$71</f>
        <v>588.23529411764707</v>
      </c>
      <c r="H122" s="368">
        <f>D122*$B$70</f>
        <v>796.40012856683711</v>
      </c>
      <c r="I122" s="368">
        <f>E122*$B$72</f>
        <v>683.06010928961746</v>
      </c>
      <c r="J122" s="368">
        <f t="shared" si="29"/>
        <v>875.65674255691772</v>
      </c>
      <c r="K122" s="182">
        <f t="shared" si="46"/>
        <v>875.65674255691772</v>
      </c>
      <c r="L122" s="182">
        <f t="shared" si="48"/>
        <v>3835.3765323992998</v>
      </c>
      <c r="M122" s="417">
        <f t="shared" si="49"/>
        <v>3835.3765323992998</v>
      </c>
      <c r="N122" s="168"/>
      <c r="O122" s="86"/>
      <c r="P122" s="173"/>
    </row>
    <row r="123" spans="1:20" s="136" customFormat="1" ht="14.25" x14ac:dyDescent="0.25">
      <c r="A123" s="539"/>
      <c r="B123" s="178" t="s">
        <v>274</v>
      </c>
      <c r="C123" s="128">
        <v>2.2999999999999998</v>
      </c>
      <c r="D123" s="128">
        <v>5.1999999999999998E-2</v>
      </c>
      <c r="E123" s="128">
        <v>0.2</v>
      </c>
      <c r="F123" s="128">
        <v>5.1999999999999998E-2</v>
      </c>
      <c r="G123" s="118">
        <f t="shared" si="38"/>
        <v>1.1274509803921567E-2</v>
      </c>
      <c r="H123" s="118">
        <f>D123*$B$70</f>
        <v>1.8570765329809652E-3</v>
      </c>
      <c r="I123" s="118">
        <f>E123*$B$72</f>
        <v>1.092896174863388E-2</v>
      </c>
      <c r="J123" s="118">
        <f t="shared" si="29"/>
        <v>2.0418901620161312E-3</v>
      </c>
      <c r="K123" s="180">
        <f t="shared" si="46"/>
        <v>1.1274509803921567E-2</v>
      </c>
      <c r="L123" s="180">
        <f t="shared" si="48"/>
        <v>4.9382352941176461E-2</v>
      </c>
      <c r="M123" s="415">
        <f t="shared" si="49"/>
        <v>4.9382352941176461E-2</v>
      </c>
      <c r="N123" s="168"/>
      <c r="O123" s="86"/>
      <c r="P123" s="168"/>
    </row>
    <row r="124" spans="1:20" s="136" customFormat="1" ht="14.25" x14ac:dyDescent="0.25">
      <c r="A124" s="539"/>
      <c r="B124" s="178" t="s">
        <v>275</v>
      </c>
      <c r="C124" s="128">
        <v>2.2000000000000002</v>
      </c>
      <c r="D124" s="128">
        <v>0.26</v>
      </c>
      <c r="E124" s="128">
        <v>0.9</v>
      </c>
      <c r="F124" s="128">
        <v>0.26</v>
      </c>
      <c r="G124" s="118">
        <f t="shared" si="38"/>
        <v>1.0784313725490198E-2</v>
      </c>
      <c r="H124" s="118">
        <f>D124*$B$70</f>
        <v>9.2853826649048274E-3</v>
      </c>
      <c r="I124" s="118">
        <f>E124*$B$72</f>
        <v>4.9180327868852458E-2</v>
      </c>
      <c r="J124" s="118">
        <f>F124*$B$73</f>
        <v>1.0209450810080655E-2</v>
      </c>
      <c r="K124" s="180">
        <f t="shared" si="46"/>
        <v>4.9180327868852458E-2</v>
      </c>
      <c r="L124" s="180">
        <f t="shared" si="48"/>
        <v>0.21540983606557376</v>
      </c>
      <c r="M124" s="415">
        <f t="shared" si="49"/>
        <v>0.21540983606557376</v>
      </c>
      <c r="N124" s="168"/>
      <c r="O124" s="86"/>
      <c r="P124" s="168"/>
    </row>
    <row r="125" spans="1:20" s="136" customFormat="1" x14ac:dyDescent="0.2">
      <c r="A125" s="539"/>
      <c r="B125" s="178" t="s">
        <v>184</v>
      </c>
      <c r="C125" s="128"/>
      <c r="D125" s="128"/>
      <c r="E125" s="128"/>
      <c r="F125" s="128"/>
      <c r="G125" s="368">
        <f>SUM(G122:G124)</f>
        <v>588.25735294117646</v>
      </c>
      <c r="H125" s="368">
        <f t="shared" ref="H125" si="50">SUM(H122:H124)</f>
        <v>796.41127102603491</v>
      </c>
      <c r="I125" s="368">
        <f t="shared" ref="I125" si="51">SUM(I122:I124)</f>
        <v>683.12021857923492</v>
      </c>
      <c r="J125" s="368">
        <f>SUM(J122:J124)</f>
        <v>875.66899389788978</v>
      </c>
      <c r="K125" s="182">
        <f t="shared" si="46"/>
        <v>875.66899389788978</v>
      </c>
      <c r="L125" s="182">
        <f t="shared" si="48"/>
        <v>3835.4301932727572</v>
      </c>
      <c r="M125" s="417">
        <f t="shared" si="49"/>
        <v>3835.4301932727572</v>
      </c>
      <c r="N125" s="168"/>
      <c r="O125" s="86"/>
      <c r="P125" s="173"/>
    </row>
    <row r="126" spans="1:20" s="136" customFormat="1" ht="15" thickBot="1" x14ac:dyDescent="0.3">
      <c r="A126" s="540"/>
      <c r="B126" s="418" t="s">
        <v>254</v>
      </c>
      <c r="C126" s="419"/>
      <c r="D126" s="419"/>
      <c r="E126" s="419"/>
      <c r="F126" s="419"/>
      <c r="G126" s="420">
        <f>G122+(G123*21)+(G124*310)</f>
        <v>591.81519607843143</v>
      </c>
      <c r="H126" s="420">
        <f>H122+(H123*21)+(H124*310)</f>
        <v>799.31759580015023</v>
      </c>
      <c r="I126" s="420">
        <f>I122+(I123*21)+(I124*310)</f>
        <v>698.53551912568309</v>
      </c>
      <c r="J126" s="420">
        <f>J122+(J123*21)+(J124*310)</f>
        <v>878.86455200144508</v>
      </c>
      <c r="K126" s="421">
        <f>MAX(G126:J126)</f>
        <v>878.86455200144508</v>
      </c>
      <c r="L126" s="421">
        <f t="shared" si="48"/>
        <v>3849.4267377663296</v>
      </c>
      <c r="M126" s="422">
        <f t="shared" si="49"/>
        <v>3849.4267377663296</v>
      </c>
      <c r="N126" s="168"/>
      <c r="O126" s="86"/>
      <c r="P126" s="173"/>
    </row>
    <row r="127" spans="1:20" s="136" customFormat="1" x14ac:dyDescent="0.2">
      <c r="A127" s="370" t="s">
        <v>324</v>
      </c>
      <c r="B127" s="165"/>
      <c r="C127" s="402"/>
      <c r="D127" s="402"/>
      <c r="E127" s="402"/>
      <c r="F127" s="402"/>
      <c r="G127" s="403"/>
      <c r="H127" s="403"/>
      <c r="I127" s="403"/>
      <c r="J127" s="403"/>
      <c r="K127" s="404"/>
      <c r="L127" s="404"/>
      <c r="M127" s="405"/>
      <c r="O127" s="133"/>
      <c r="P127" s="114"/>
      <c r="R127" s="172"/>
      <c r="S127" s="172"/>
      <c r="T127" s="172"/>
    </row>
    <row r="128" spans="1:20" s="136" customFormat="1" ht="27.75" customHeight="1" x14ac:dyDescent="0.2">
      <c r="A128" s="541" t="s">
        <v>321</v>
      </c>
      <c r="B128" s="541"/>
      <c r="C128" s="541"/>
      <c r="D128" s="541"/>
      <c r="E128" s="541"/>
      <c r="F128" s="541"/>
      <c r="G128" s="541"/>
      <c r="H128" s="541"/>
      <c r="I128" s="541"/>
      <c r="J128" s="541"/>
      <c r="K128" s="541"/>
      <c r="L128" s="541"/>
      <c r="M128" s="541"/>
    </row>
    <row r="129" spans="1:18" s="130" customFormat="1" ht="18" x14ac:dyDescent="0.25">
      <c r="A129" s="536" t="s">
        <v>20</v>
      </c>
      <c r="B129" s="536"/>
      <c r="C129" s="536"/>
      <c r="D129" s="536"/>
      <c r="E129" s="536"/>
      <c r="F129" s="536"/>
      <c r="G129" s="536"/>
      <c r="H129" s="536"/>
      <c r="I129" s="536"/>
      <c r="J129" s="536"/>
      <c r="K129" s="536"/>
      <c r="L129" s="536"/>
      <c r="M129" s="536"/>
    </row>
    <row r="130" spans="1:18" s="130" customFormat="1" ht="15.75" x14ac:dyDescent="0.25">
      <c r="A130" s="537" t="s">
        <v>107</v>
      </c>
      <c r="B130" s="537"/>
      <c r="C130" s="537"/>
      <c r="D130" s="537"/>
      <c r="E130" s="537"/>
      <c r="F130" s="537"/>
      <c r="G130" s="537"/>
      <c r="H130" s="537"/>
      <c r="I130" s="537"/>
      <c r="J130" s="537"/>
      <c r="K130" s="537"/>
      <c r="L130" s="537"/>
      <c r="M130" s="537"/>
    </row>
    <row r="131" spans="1:18" s="130" customFormat="1" ht="15.75" x14ac:dyDescent="0.25">
      <c r="A131" s="537" t="s">
        <v>269</v>
      </c>
      <c r="B131" s="537"/>
      <c r="C131" s="537"/>
      <c r="D131" s="537"/>
      <c r="E131" s="537"/>
      <c r="F131" s="537"/>
      <c r="G131" s="537"/>
      <c r="H131" s="537"/>
      <c r="I131" s="537"/>
      <c r="J131" s="537"/>
      <c r="K131" s="537"/>
      <c r="L131" s="537"/>
      <c r="M131" s="537"/>
    </row>
    <row r="132" spans="1:18" s="130" customFormat="1" ht="15.75" customHeight="1" x14ac:dyDescent="0.2">
      <c r="A132" s="165" t="s">
        <v>116</v>
      </c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</row>
    <row r="133" spans="1:18" s="136" customFormat="1" x14ac:dyDescent="0.2">
      <c r="A133" s="130" t="s">
        <v>117</v>
      </c>
      <c r="B133" s="130">
        <v>17.579999999999998</v>
      </c>
      <c r="C133" s="130" t="s">
        <v>63</v>
      </c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</row>
    <row r="134" spans="1:18" s="136" customFormat="1" x14ac:dyDescent="0.2">
      <c r="A134" s="130" t="s">
        <v>122</v>
      </c>
      <c r="B134" s="432">
        <f>B133/H134/1000</f>
        <v>0.12556694403771293</v>
      </c>
      <c r="C134" s="130" t="s">
        <v>119</v>
      </c>
      <c r="D134" s="130"/>
      <c r="E134" s="130" t="s">
        <v>123</v>
      </c>
      <c r="F134" s="130"/>
      <c r="G134" s="130"/>
      <c r="H134" s="130">
        <f>140005/1000000</f>
        <v>0.14000499999999999</v>
      </c>
      <c r="I134" s="130" t="s">
        <v>121</v>
      </c>
      <c r="J134" s="130"/>
      <c r="K134" s="130" t="s">
        <v>259</v>
      </c>
      <c r="L134" s="167">
        <f>15/1000000*100</f>
        <v>1.5E-3</v>
      </c>
      <c r="M134" s="130" t="s">
        <v>258</v>
      </c>
      <c r="N134" s="130"/>
      <c r="O134" s="130"/>
      <c r="P134" s="130"/>
      <c r="Q134" s="130"/>
      <c r="R134" s="130"/>
    </row>
    <row r="135" spans="1:18" s="136" customFormat="1" x14ac:dyDescent="0.2">
      <c r="A135" s="130" t="s">
        <v>124</v>
      </c>
      <c r="B135" s="432">
        <f>B133/H135</f>
        <v>1.7235294117647057E-2</v>
      </c>
      <c r="C135" s="130" t="s">
        <v>125</v>
      </c>
      <c r="D135" s="130"/>
      <c r="E135" s="130" t="s">
        <v>126</v>
      </c>
      <c r="F135" s="130"/>
      <c r="G135" s="130"/>
      <c r="H135" s="130">
        <v>1020</v>
      </c>
      <c r="I135" s="130" t="s">
        <v>127</v>
      </c>
      <c r="J135" s="130"/>
      <c r="K135" s="130"/>
      <c r="L135" s="130"/>
      <c r="M135" s="130"/>
      <c r="N135" s="130"/>
      <c r="O135" s="130"/>
      <c r="P135" s="130"/>
      <c r="Q135" s="130"/>
      <c r="R135" s="130"/>
    </row>
    <row r="136" spans="1:18" s="136" customFormat="1" x14ac:dyDescent="0.2">
      <c r="A136" s="370" t="s">
        <v>314</v>
      </c>
      <c r="B136" s="432">
        <f>B133/H136/1000</f>
        <v>0.19213114754098359</v>
      </c>
      <c r="C136" s="370" t="s">
        <v>119</v>
      </c>
      <c r="D136" s="130"/>
      <c r="E136" s="370" t="s">
        <v>315</v>
      </c>
      <c r="F136" s="130"/>
      <c r="G136" s="130"/>
      <c r="H136" s="130">
        <f>91.5/1000</f>
        <v>9.1499999999999998E-2</v>
      </c>
      <c r="I136" s="370" t="s">
        <v>121</v>
      </c>
      <c r="J136" s="130"/>
      <c r="K136" s="190" t="s">
        <v>318</v>
      </c>
      <c r="L136" s="130">
        <v>15</v>
      </c>
      <c r="M136" s="190" t="s">
        <v>322</v>
      </c>
      <c r="N136" s="130"/>
      <c r="O136" s="130"/>
      <c r="P136" s="130"/>
      <c r="Q136" s="130"/>
      <c r="R136" s="130"/>
    </row>
    <row r="137" spans="1:18" s="136" customFormat="1" ht="13.5" thickBot="1" x14ac:dyDescent="0.25">
      <c r="A137" s="134" t="s">
        <v>246</v>
      </c>
      <c r="B137" s="433">
        <f>B133/H137/1000</f>
        <v>0.13806318864709069</v>
      </c>
      <c r="C137" s="134" t="s">
        <v>119</v>
      </c>
      <c r="D137" s="134"/>
      <c r="E137" s="134" t="s">
        <v>247</v>
      </c>
      <c r="F137" s="134"/>
      <c r="G137" s="134"/>
      <c r="H137" s="406">
        <f>127333/1000000</f>
        <v>0.127333</v>
      </c>
      <c r="I137" s="134" t="s">
        <v>121</v>
      </c>
      <c r="J137" s="134"/>
      <c r="K137" s="134" t="s">
        <v>263</v>
      </c>
      <c r="L137" s="407">
        <v>0.1</v>
      </c>
      <c r="M137" s="134" t="s">
        <v>258</v>
      </c>
      <c r="N137" s="134"/>
      <c r="O137" s="130"/>
      <c r="P137" s="130"/>
      <c r="Q137" s="130"/>
      <c r="R137" s="130"/>
    </row>
    <row r="138" spans="1:18" s="186" customFormat="1" ht="63.75" x14ac:dyDescent="0.2">
      <c r="A138" s="410" t="s">
        <v>128</v>
      </c>
      <c r="B138" s="411" t="s">
        <v>19</v>
      </c>
      <c r="C138" s="411" t="s">
        <v>129</v>
      </c>
      <c r="D138" s="411" t="s">
        <v>130</v>
      </c>
      <c r="E138" s="411" t="s">
        <v>320</v>
      </c>
      <c r="F138" s="411" t="s">
        <v>251</v>
      </c>
      <c r="G138" s="411" t="s">
        <v>132</v>
      </c>
      <c r="H138" s="411" t="s">
        <v>133</v>
      </c>
      <c r="I138" s="411" t="s">
        <v>313</v>
      </c>
      <c r="J138" s="411" t="s">
        <v>252</v>
      </c>
      <c r="K138" s="411" t="s">
        <v>135</v>
      </c>
      <c r="L138" s="411" t="s">
        <v>136</v>
      </c>
      <c r="M138" s="412" t="s">
        <v>137</v>
      </c>
    </row>
    <row r="139" spans="1:18" s="136" customFormat="1" ht="12.75" customHeight="1" x14ac:dyDescent="0.2">
      <c r="A139" s="538" t="s">
        <v>327</v>
      </c>
      <c r="B139" s="177" t="s">
        <v>139</v>
      </c>
      <c r="C139" s="128">
        <v>1.7999999999999999E-6</v>
      </c>
      <c r="D139" s="128">
        <v>2.1100000000000001E-5</v>
      </c>
      <c r="E139" s="542" t="s">
        <v>319</v>
      </c>
      <c r="F139" s="128">
        <v>2.1100000000000001E-5</v>
      </c>
      <c r="G139" s="128">
        <f>C139*$B$135</f>
        <v>3.1023529411764698E-8</v>
      </c>
      <c r="H139" s="128">
        <f>D139*$B$134</f>
        <v>2.6494625191957428E-6</v>
      </c>
      <c r="I139" s="128">
        <f>G139</f>
        <v>3.1023529411764698E-8</v>
      </c>
      <c r="J139" s="128">
        <f>F139*$B$137</f>
        <v>2.9131332804536138E-6</v>
      </c>
      <c r="K139" s="181">
        <f>MAX(G139:J139)</f>
        <v>2.9131332804536138E-6</v>
      </c>
      <c r="L139" s="181">
        <f t="shared" ref="L139:L147" si="52">K139*8760/2000</f>
        <v>1.2759523768386827E-5</v>
      </c>
      <c r="M139" s="413">
        <f t="shared" ref="M139:M161" si="53">K139*8760/2000</f>
        <v>1.2759523768386827E-5</v>
      </c>
    </row>
    <row r="140" spans="1:18" s="136" customFormat="1" x14ac:dyDescent="0.2">
      <c r="A140" s="539"/>
      <c r="B140" s="177" t="s">
        <v>140</v>
      </c>
      <c r="C140" s="128">
        <v>1.7999999999999999E-6</v>
      </c>
      <c r="D140" s="128">
        <v>2.53E-7</v>
      </c>
      <c r="E140" s="543"/>
      <c r="F140" s="128">
        <v>2.53E-7</v>
      </c>
      <c r="G140" s="128">
        <f t="shared" ref="G140:G178" si="54">C140*$B$135</f>
        <v>3.1023529411764698E-8</v>
      </c>
      <c r="H140" s="128">
        <f t="shared" ref="H140:H178" si="55">D140*$B$134</f>
        <v>3.1768436841541372E-8</v>
      </c>
      <c r="I140" s="128">
        <f t="shared" ref="I140:I151" si="56">G140</f>
        <v>3.1023529411764698E-8</v>
      </c>
      <c r="J140" s="128">
        <f t="shared" ref="J140:J176" si="57">F140*$B$137</f>
        <v>3.4929986727713942E-8</v>
      </c>
      <c r="K140" s="181">
        <f t="shared" ref="K140:K175" si="58">MAX(G140:J140)</f>
        <v>3.4929986727713942E-8</v>
      </c>
      <c r="L140" s="181">
        <f t="shared" si="52"/>
        <v>1.5299334186738709E-7</v>
      </c>
      <c r="M140" s="413">
        <f t="shared" si="53"/>
        <v>1.5299334186738709E-7</v>
      </c>
    </row>
    <row r="141" spans="1:18" s="136" customFormat="1" x14ac:dyDescent="0.2">
      <c r="A141" s="539"/>
      <c r="B141" s="177" t="s">
        <v>141</v>
      </c>
      <c r="C141" s="128">
        <v>2.3999999999999999E-6</v>
      </c>
      <c r="D141" s="128">
        <v>1.22E-6</v>
      </c>
      <c r="E141" s="543"/>
      <c r="F141" s="128">
        <v>1.22E-6</v>
      </c>
      <c r="G141" s="128">
        <f t="shared" si="54"/>
        <v>4.1364705882352933E-8</v>
      </c>
      <c r="H141" s="128">
        <f t="shared" si="55"/>
        <v>1.5319167172600976E-7</v>
      </c>
      <c r="I141" s="128">
        <f t="shared" si="56"/>
        <v>4.1364705882352933E-8</v>
      </c>
      <c r="J141" s="128">
        <f t="shared" si="57"/>
        <v>1.6843709014945065E-7</v>
      </c>
      <c r="K141" s="181">
        <f t="shared" si="58"/>
        <v>1.6843709014945065E-7</v>
      </c>
      <c r="L141" s="181">
        <f t="shared" si="52"/>
        <v>7.3775445485459389E-7</v>
      </c>
      <c r="M141" s="413">
        <f t="shared" si="53"/>
        <v>7.3775445485459389E-7</v>
      </c>
    </row>
    <row r="142" spans="1:18" s="136" customFormat="1" x14ac:dyDescent="0.2">
      <c r="A142" s="539"/>
      <c r="B142" s="177" t="s">
        <v>186</v>
      </c>
      <c r="C142" s="128">
        <v>1.7999999999999999E-6</v>
      </c>
      <c r="D142" s="128">
        <v>4.0099999999999997E-6</v>
      </c>
      <c r="E142" s="543"/>
      <c r="F142" s="128">
        <v>4.0099999999999997E-6</v>
      </c>
      <c r="G142" s="128">
        <f t="shared" si="54"/>
        <v>3.1023529411764698E-8</v>
      </c>
      <c r="H142" s="128">
        <f t="shared" si="55"/>
        <v>5.0352344559122884E-7</v>
      </c>
      <c r="I142" s="128">
        <f t="shared" si="56"/>
        <v>3.1023529411764698E-8</v>
      </c>
      <c r="J142" s="128">
        <f t="shared" si="57"/>
        <v>5.5363338647483361E-7</v>
      </c>
      <c r="K142" s="181">
        <f t="shared" si="58"/>
        <v>5.5363338647483361E-7</v>
      </c>
      <c r="L142" s="181">
        <f t="shared" si="52"/>
        <v>2.4249142327597714E-6</v>
      </c>
      <c r="M142" s="413">
        <f t="shared" si="53"/>
        <v>2.4249142327597714E-6</v>
      </c>
    </row>
    <row r="143" spans="1:18" s="136" customFormat="1" x14ac:dyDescent="0.2">
      <c r="A143" s="539"/>
      <c r="B143" s="177" t="s">
        <v>143</v>
      </c>
      <c r="C143" s="128">
        <v>2.0999999999999999E-3</v>
      </c>
      <c r="D143" s="128">
        <v>2.14E-4</v>
      </c>
      <c r="E143" s="543"/>
      <c r="F143" s="128">
        <v>2.14E-4</v>
      </c>
      <c r="G143" s="128">
        <f t="shared" si="54"/>
        <v>3.6194117647058815E-5</v>
      </c>
      <c r="H143" s="128">
        <f t="shared" si="55"/>
        <v>2.6871326024070568E-5</v>
      </c>
      <c r="I143" s="128">
        <f t="shared" si="56"/>
        <v>3.6194117647058815E-5</v>
      </c>
      <c r="J143" s="128">
        <f t="shared" si="57"/>
        <v>2.9545522370477409E-5</v>
      </c>
      <c r="K143" s="181">
        <f t="shared" si="58"/>
        <v>3.6194117647058815E-5</v>
      </c>
      <c r="L143" s="181">
        <f t="shared" si="52"/>
        <v>1.5853023529411762E-4</v>
      </c>
      <c r="M143" s="413">
        <f t="shared" si="53"/>
        <v>1.5853023529411762E-4</v>
      </c>
    </row>
    <row r="144" spans="1:18" s="136" customFormat="1" x14ac:dyDescent="0.2">
      <c r="A144" s="539"/>
      <c r="B144" s="179" t="s">
        <v>144</v>
      </c>
      <c r="C144" s="128">
        <v>1.1999999999999999E-6</v>
      </c>
      <c r="D144" s="128"/>
      <c r="E144" s="543"/>
      <c r="F144" s="128"/>
      <c r="G144" s="128">
        <f t="shared" si="54"/>
        <v>2.0682352941176466E-8</v>
      </c>
      <c r="H144" s="128"/>
      <c r="I144" s="128">
        <f t="shared" si="56"/>
        <v>2.0682352941176466E-8</v>
      </c>
      <c r="J144" s="128"/>
      <c r="K144" s="181">
        <f t="shared" si="58"/>
        <v>2.0682352941176466E-8</v>
      </c>
      <c r="L144" s="181">
        <f t="shared" si="52"/>
        <v>9.0588705882352931E-8</v>
      </c>
      <c r="M144" s="413">
        <f t="shared" si="53"/>
        <v>9.0588705882352931E-8</v>
      </c>
    </row>
    <row r="145" spans="1:18" s="136" customFormat="1" x14ac:dyDescent="0.2">
      <c r="A145" s="539"/>
      <c r="B145" s="177" t="s">
        <v>145</v>
      </c>
      <c r="C145" s="128">
        <v>1.7999999999999999E-6</v>
      </c>
      <c r="D145" s="128">
        <v>1.48E-6</v>
      </c>
      <c r="E145" s="543"/>
      <c r="F145" s="128">
        <v>1.48E-6</v>
      </c>
      <c r="G145" s="128">
        <f t="shared" si="54"/>
        <v>3.1023529411764698E-8</v>
      </c>
      <c r="H145" s="128">
        <f t="shared" si="55"/>
        <v>1.8583907717581515E-7</v>
      </c>
      <c r="I145" s="128">
        <f t="shared" si="56"/>
        <v>3.1023529411764698E-8</v>
      </c>
      <c r="J145" s="128">
        <f t="shared" si="57"/>
        <v>2.0433351919769422E-7</v>
      </c>
      <c r="K145" s="181">
        <f t="shared" si="58"/>
        <v>2.0433351919769422E-7</v>
      </c>
      <c r="L145" s="181">
        <f t="shared" si="52"/>
        <v>8.9498081408590065E-7</v>
      </c>
      <c r="M145" s="413">
        <f t="shared" si="53"/>
        <v>8.9498081408590065E-7</v>
      </c>
    </row>
    <row r="146" spans="1:18" s="136" customFormat="1" x14ac:dyDescent="0.2">
      <c r="A146" s="539"/>
      <c r="B146" s="177" t="s">
        <v>146</v>
      </c>
      <c r="C146" s="128">
        <v>1.1999999999999999E-6</v>
      </c>
      <c r="D146" s="128">
        <v>2.26E-6</v>
      </c>
      <c r="E146" s="543"/>
      <c r="F146" s="128">
        <v>2.26E-6</v>
      </c>
      <c r="G146" s="128">
        <f t="shared" si="54"/>
        <v>2.0682352941176466E-8</v>
      </c>
      <c r="H146" s="128">
        <f t="shared" si="55"/>
        <v>2.837812935252312E-7</v>
      </c>
      <c r="I146" s="128">
        <f t="shared" si="56"/>
        <v>2.0682352941176466E-8</v>
      </c>
      <c r="J146" s="128">
        <f t="shared" si="57"/>
        <v>3.1202280634242495E-7</v>
      </c>
      <c r="K146" s="181">
        <f t="shared" si="58"/>
        <v>3.1202280634242495E-7</v>
      </c>
      <c r="L146" s="181">
        <f t="shared" si="52"/>
        <v>1.3666598917798214E-6</v>
      </c>
      <c r="M146" s="413">
        <f t="shared" si="53"/>
        <v>1.3666598917798214E-6</v>
      </c>
    </row>
    <row r="147" spans="1:18" s="136" customFormat="1" x14ac:dyDescent="0.2">
      <c r="A147" s="539"/>
      <c r="B147" s="177" t="s">
        <v>147</v>
      </c>
      <c r="C147" s="128">
        <v>1.7999999999999999E-6</v>
      </c>
      <c r="D147" s="128">
        <v>1.48E-6</v>
      </c>
      <c r="E147" s="543"/>
      <c r="F147" s="128">
        <v>1.48E-6</v>
      </c>
      <c r="G147" s="128">
        <f t="shared" si="54"/>
        <v>3.1023529411764698E-8</v>
      </c>
      <c r="H147" s="128">
        <f t="shared" si="55"/>
        <v>1.8583907717581515E-7</v>
      </c>
      <c r="I147" s="128">
        <f t="shared" si="56"/>
        <v>3.1023529411764698E-8</v>
      </c>
      <c r="J147" s="128">
        <f t="shared" si="57"/>
        <v>2.0433351919769422E-7</v>
      </c>
      <c r="K147" s="181">
        <f t="shared" si="58"/>
        <v>2.0433351919769422E-7</v>
      </c>
      <c r="L147" s="181">
        <f t="shared" si="52"/>
        <v>8.9498081408590065E-7</v>
      </c>
      <c r="M147" s="413">
        <f t="shared" si="53"/>
        <v>8.9498081408590065E-7</v>
      </c>
    </row>
    <row r="148" spans="1:18" s="136" customFormat="1" x14ac:dyDescent="0.2">
      <c r="A148" s="539"/>
      <c r="B148" s="177" t="s">
        <v>148</v>
      </c>
      <c r="C148" s="128">
        <v>1.7999999999999999E-6</v>
      </c>
      <c r="D148" s="128">
        <v>2.3800000000000001E-6</v>
      </c>
      <c r="E148" s="543"/>
      <c r="F148" s="128">
        <v>2.3800000000000001E-6</v>
      </c>
      <c r="G148" s="128">
        <f t="shared" si="54"/>
        <v>3.1023529411764698E-8</v>
      </c>
      <c r="H148" s="128">
        <f t="shared" si="55"/>
        <v>2.9884932680975677E-7</v>
      </c>
      <c r="I148" s="128">
        <f t="shared" si="56"/>
        <v>3.1023529411764698E-8</v>
      </c>
      <c r="J148" s="128">
        <f t="shared" si="57"/>
        <v>3.2859038898007587E-7</v>
      </c>
      <c r="K148" s="181">
        <f t="shared" si="58"/>
        <v>3.2859038898007587E-7</v>
      </c>
      <c r="L148" s="181">
        <f>K148*8760/2000</f>
        <v>1.4392259037327322E-6</v>
      </c>
      <c r="M148" s="413">
        <f t="shared" si="53"/>
        <v>1.4392259037327322E-6</v>
      </c>
    </row>
    <row r="149" spans="1:18" s="136" customFormat="1" x14ac:dyDescent="0.2">
      <c r="A149" s="539"/>
      <c r="B149" s="177" t="s">
        <v>149</v>
      </c>
      <c r="C149" s="128">
        <v>1.1999999999999999E-3</v>
      </c>
      <c r="D149" s="128">
        <v>1.6700000000000001E-6</v>
      </c>
      <c r="E149" s="543"/>
      <c r="F149" s="128">
        <v>1.6700000000000001E-6</v>
      </c>
      <c r="G149" s="128">
        <f t="shared" si="54"/>
        <v>2.0682352941176467E-5</v>
      </c>
      <c r="H149" s="128">
        <f t="shared" si="55"/>
        <v>2.096967965429806E-7</v>
      </c>
      <c r="I149" s="128">
        <f t="shared" si="56"/>
        <v>2.0682352941176467E-5</v>
      </c>
      <c r="J149" s="128">
        <f t="shared" si="57"/>
        <v>2.3056552504064146E-7</v>
      </c>
      <c r="K149" s="181">
        <f t="shared" si="58"/>
        <v>2.0682352941176467E-5</v>
      </c>
      <c r="L149" s="181">
        <f t="shared" ref="L149:L150" si="59">K149*8760/2000</f>
        <v>9.0588705882352929E-5</v>
      </c>
      <c r="M149" s="413">
        <f t="shared" si="53"/>
        <v>9.0588705882352929E-5</v>
      </c>
    </row>
    <row r="150" spans="1:18" s="136" customFormat="1" x14ac:dyDescent="0.2">
      <c r="A150" s="539"/>
      <c r="B150" s="177" t="s">
        <v>150</v>
      </c>
      <c r="C150" s="128">
        <v>1.1999999999999999E-3</v>
      </c>
      <c r="D150" s="128"/>
      <c r="E150" s="543"/>
      <c r="F150" s="128"/>
      <c r="G150" s="128">
        <f t="shared" si="54"/>
        <v>2.0682352941176467E-5</v>
      </c>
      <c r="H150" s="128"/>
      <c r="I150" s="128">
        <f t="shared" si="56"/>
        <v>2.0682352941176467E-5</v>
      </c>
      <c r="J150" s="128"/>
      <c r="K150" s="181">
        <f t="shared" si="58"/>
        <v>2.0682352941176467E-5</v>
      </c>
      <c r="L150" s="181">
        <f t="shared" si="59"/>
        <v>9.0588705882352929E-5</v>
      </c>
      <c r="M150" s="413">
        <f t="shared" si="53"/>
        <v>9.0588705882352929E-5</v>
      </c>
    </row>
    <row r="151" spans="1:18" s="136" customFormat="1" x14ac:dyDescent="0.2">
      <c r="A151" s="539"/>
      <c r="B151" s="177" t="s">
        <v>242</v>
      </c>
      <c r="C151" s="128">
        <v>1.5999999999999999E-5</v>
      </c>
      <c r="D151" s="128"/>
      <c r="E151" s="543"/>
      <c r="F151" s="128"/>
      <c r="G151" s="128">
        <f t="shared" si="54"/>
        <v>2.7576470588235289E-7</v>
      </c>
      <c r="H151" s="128"/>
      <c r="I151" s="128">
        <f t="shared" si="56"/>
        <v>2.7576470588235289E-7</v>
      </c>
      <c r="J151" s="128"/>
      <c r="K151" s="181">
        <f t="shared" si="58"/>
        <v>2.7576470588235289E-7</v>
      </c>
      <c r="L151" s="181">
        <f>K151*8760/2000</f>
        <v>1.2078494117647057E-6</v>
      </c>
      <c r="M151" s="413">
        <f t="shared" si="53"/>
        <v>1.2078494117647057E-6</v>
      </c>
    </row>
    <row r="152" spans="1:18" s="136" customFormat="1" x14ac:dyDescent="0.2">
      <c r="A152" s="539"/>
      <c r="B152" s="177" t="s">
        <v>151</v>
      </c>
      <c r="C152" s="128"/>
      <c r="D152" s="128">
        <v>6.3600000000000001E-5</v>
      </c>
      <c r="E152" s="543"/>
      <c r="F152" s="128">
        <v>6.3600000000000001E-5</v>
      </c>
      <c r="G152" s="128"/>
      <c r="H152" s="128">
        <f t="shared" si="55"/>
        <v>7.986057640798543E-6</v>
      </c>
      <c r="I152" s="128"/>
      <c r="J152" s="128">
        <f t="shared" si="57"/>
        <v>8.7808187979549688E-6</v>
      </c>
      <c r="K152" s="181">
        <f t="shared" si="58"/>
        <v>8.7808187979549688E-6</v>
      </c>
      <c r="L152" s="181">
        <f t="shared" ref="L152:L161" si="60">K152*8760/2000</f>
        <v>3.8459986335042767E-5</v>
      </c>
      <c r="M152" s="413">
        <f t="shared" si="53"/>
        <v>3.8459986335042767E-5</v>
      </c>
    </row>
    <row r="153" spans="1:18" s="136" customFormat="1" x14ac:dyDescent="0.2">
      <c r="A153" s="539"/>
      <c r="B153" s="177" t="s">
        <v>152</v>
      </c>
      <c r="C153" s="128">
        <v>3.0000000000000001E-6</v>
      </c>
      <c r="D153" s="128">
        <v>4.8400000000000002E-6</v>
      </c>
      <c r="E153" s="543"/>
      <c r="F153" s="128">
        <v>4.8400000000000002E-6</v>
      </c>
      <c r="G153" s="128">
        <f t="shared" si="54"/>
        <v>5.1705882352941174E-8</v>
      </c>
      <c r="H153" s="128">
        <f t="shared" si="55"/>
        <v>6.0774400914253066E-7</v>
      </c>
      <c r="I153" s="128">
        <f t="shared" ref="I153:I161" si="61">G153</f>
        <v>5.1705882352941174E-8</v>
      </c>
      <c r="J153" s="128">
        <f t="shared" si="57"/>
        <v>6.6822583305191901E-7</v>
      </c>
      <c r="K153" s="181">
        <f t="shared" si="58"/>
        <v>6.6822583305191901E-7</v>
      </c>
      <c r="L153" s="181">
        <f t="shared" si="60"/>
        <v>2.9268291487674054E-6</v>
      </c>
      <c r="M153" s="413">
        <f t="shared" si="53"/>
        <v>2.9268291487674054E-6</v>
      </c>
    </row>
    <row r="154" spans="1:18" s="136" customFormat="1" x14ac:dyDescent="0.2">
      <c r="A154" s="539"/>
      <c r="B154" s="177" t="s">
        <v>153</v>
      </c>
      <c r="C154" s="128">
        <v>2.7999999999999999E-6</v>
      </c>
      <c r="D154" s="128">
        <v>4.4700000000000004E-6</v>
      </c>
      <c r="E154" s="543"/>
      <c r="F154" s="128">
        <v>4.4700000000000004E-6</v>
      </c>
      <c r="G154" s="128">
        <f t="shared" si="54"/>
        <v>4.825882352941176E-8</v>
      </c>
      <c r="H154" s="128">
        <f t="shared" si="55"/>
        <v>5.612842398485768E-7</v>
      </c>
      <c r="I154" s="128">
        <f t="shared" si="61"/>
        <v>4.825882352941176E-8</v>
      </c>
      <c r="J154" s="128">
        <f t="shared" si="57"/>
        <v>6.1714245325249548E-7</v>
      </c>
      <c r="K154" s="181">
        <f t="shared" si="58"/>
        <v>6.1714245325249548E-7</v>
      </c>
      <c r="L154" s="181">
        <f t="shared" si="60"/>
        <v>2.7030839452459302E-6</v>
      </c>
      <c r="M154" s="413">
        <f t="shared" si="53"/>
        <v>2.7030839452459302E-6</v>
      </c>
    </row>
    <row r="155" spans="1:18" s="136" customFormat="1" x14ac:dyDescent="0.2">
      <c r="A155" s="539"/>
      <c r="B155" s="177" t="s">
        <v>154</v>
      </c>
      <c r="C155" s="128">
        <v>7.4999999999999997E-2</v>
      </c>
      <c r="D155" s="128">
        <v>3.3000000000000002E-2</v>
      </c>
      <c r="E155" s="543"/>
      <c r="F155" s="128">
        <v>3.3000000000000002E-2</v>
      </c>
      <c r="G155" s="128">
        <f t="shared" si="54"/>
        <v>1.2926470588235292E-3</v>
      </c>
      <c r="H155" s="128">
        <f t="shared" si="55"/>
        <v>4.1437091532445271E-3</v>
      </c>
      <c r="I155" s="128">
        <f t="shared" si="61"/>
        <v>1.2926470588235292E-3</v>
      </c>
      <c r="J155" s="128">
        <f t="shared" si="57"/>
        <v>4.5560852253539929E-3</v>
      </c>
      <c r="K155" s="181">
        <f t="shared" si="58"/>
        <v>4.5560852253539929E-3</v>
      </c>
      <c r="L155" s="181">
        <f t="shared" si="60"/>
        <v>1.9955653287050488E-2</v>
      </c>
      <c r="M155" s="413">
        <f t="shared" si="53"/>
        <v>1.9955653287050488E-2</v>
      </c>
      <c r="R155" s="168"/>
    </row>
    <row r="156" spans="1:18" s="136" customFormat="1" x14ac:dyDescent="0.2">
      <c r="A156" s="539"/>
      <c r="B156" s="177" t="s">
        <v>155</v>
      </c>
      <c r="C156" s="128">
        <v>1.8</v>
      </c>
      <c r="D156" s="128"/>
      <c r="E156" s="543"/>
      <c r="F156" s="128"/>
      <c r="G156" s="128">
        <f t="shared" si="54"/>
        <v>3.1023529411764703E-2</v>
      </c>
      <c r="H156" s="128"/>
      <c r="I156" s="128">
        <f t="shared" si="61"/>
        <v>3.1023529411764703E-2</v>
      </c>
      <c r="J156" s="128"/>
      <c r="K156" s="181">
        <f t="shared" si="58"/>
        <v>3.1023529411764703E-2</v>
      </c>
      <c r="L156" s="181">
        <f t="shared" si="60"/>
        <v>0.13588305882352941</v>
      </c>
      <c r="M156" s="414">
        <f t="shared" si="53"/>
        <v>0.13588305882352941</v>
      </c>
    </row>
    <row r="157" spans="1:18" s="136" customFormat="1" x14ac:dyDescent="0.2">
      <c r="A157" s="539"/>
      <c r="B157" s="177" t="s">
        <v>156</v>
      </c>
      <c r="C157" s="128">
        <v>1.7999999999999999E-6</v>
      </c>
      <c r="D157" s="128">
        <v>2.1399999999999998E-6</v>
      </c>
      <c r="E157" s="543"/>
      <c r="F157" s="128">
        <v>2.1399999999999998E-6</v>
      </c>
      <c r="G157" s="128">
        <f t="shared" si="54"/>
        <v>3.1023529411764698E-8</v>
      </c>
      <c r="H157" s="128">
        <f t="shared" si="55"/>
        <v>2.6871326024070564E-7</v>
      </c>
      <c r="I157" s="128">
        <f t="shared" si="61"/>
        <v>3.1023529411764698E-8</v>
      </c>
      <c r="J157" s="128">
        <f t="shared" si="57"/>
        <v>2.9545522370477404E-7</v>
      </c>
      <c r="K157" s="181">
        <f t="shared" si="58"/>
        <v>2.9545522370477404E-7</v>
      </c>
      <c r="L157" s="181">
        <f t="shared" si="60"/>
        <v>1.2940938798269101E-6</v>
      </c>
      <c r="M157" s="414">
        <f t="shared" si="53"/>
        <v>1.2940938798269101E-6</v>
      </c>
    </row>
    <row r="158" spans="1:18" s="136" customFormat="1" x14ac:dyDescent="0.2">
      <c r="A158" s="539"/>
      <c r="B158" s="177" t="s">
        <v>244</v>
      </c>
      <c r="C158" s="128">
        <v>2.4000000000000001E-5</v>
      </c>
      <c r="D158" s="128"/>
      <c r="E158" s="543"/>
      <c r="F158" s="128"/>
      <c r="G158" s="128">
        <f t="shared" si="54"/>
        <v>4.1364705882352939E-7</v>
      </c>
      <c r="H158" s="128"/>
      <c r="I158" s="128">
        <f t="shared" si="61"/>
        <v>4.1364705882352939E-7</v>
      </c>
      <c r="J158" s="128"/>
      <c r="K158" s="181">
        <f t="shared" si="58"/>
        <v>4.1364705882352939E-7</v>
      </c>
      <c r="L158" s="181">
        <f t="shared" si="60"/>
        <v>1.8117741176470586E-6</v>
      </c>
      <c r="M158" s="414">
        <f t="shared" si="53"/>
        <v>1.8117741176470586E-6</v>
      </c>
    </row>
    <row r="159" spans="1:18" s="136" customFormat="1" x14ac:dyDescent="0.2">
      <c r="A159" s="539"/>
      <c r="B159" s="177" t="s">
        <v>245</v>
      </c>
      <c r="C159" s="128">
        <v>1.7999999999999999E-6</v>
      </c>
      <c r="D159" s="128"/>
      <c r="E159" s="543"/>
      <c r="F159" s="128"/>
      <c r="G159" s="128">
        <f t="shared" si="54"/>
        <v>3.1023529411764698E-8</v>
      </c>
      <c r="H159" s="128"/>
      <c r="I159" s="128">
        <f t="shared" si="61"/>
        <v>3.1023529411764698E-8</v>
      </c>
      <c r="J159" s="128"/>
      <c r="K159" s="181">
        <f t="shared" si="58"/>
        <v>3.1023529411764698E-8</v>
      </c>
      <c r="L159" s="181">
        <f t="shared" si="60"/>
        <v>1.3588305882352937E-7</v>
      </c>
      <c r="M159" s="414">
        <f t="shared" si="53"/>
        <v>1.3588305882352937E-7</v>
      </c>
    </row>
    <row r="160" spans="1:18" s="136" customFormat="1" x14ac:dyDescent="0.2">
      <c r="A160" s="539"/>
      <c r="B160" s="177" t="s">
        <v>157</v>
      </c>
      <c r="C160" s="128">
        <v>6.0999999999999997E-4</v>
      </c>
      <c r="D160" s="128">
        <v>1.1299999999999999E-3</v>
      </c>
      <c r="E160" s="543"/>
      <c r="F160" s="128">
        <v>1.1299999999999999E-3</v>
      </c>
      <c r="G160" s="128">
        <f t="shared" si="54"/>
        <v>1.0513529411764704E-5</v>
      </c>
      <c r="H160" s="128">
        <f t="shared" si="55"/>
        <v>1.4189064676261559E-4</v>
      </c>
      <c r="I160" s="128">
        <f t="shared" si="61"/>
        <v>1.0513529411764704E-5</v>
      </c>
      <c r="J160" s="128">
        <f t="shared" si="57"/>
        <v>1.5601140317121246E-4</v>
      </c>
      <c r="K160" s="181">
        <f t="shared" si="58"/>
        <v>1.5601140317121246E-4</v>
      </c>
      <c r="L160" s="181">
        <f t="shared" si="60"/>
        <v>6.8332994588991055E-4</v>
      </c>
      <c r="M160" s="414">
        <f t="shared" si="53"/>
        <v>6.8332994588991055E-4</v>
      </c>
    </row>
    <row r="161" spans="1:18" s="136" customFormat="1" x14ac:dyDescent="0.2">
      <c r="A161" s="539"/>
      <c r="B161" s="177" t="s">
        <v>158</v>
      </c>
      <c r="C161" s="128">
        <v>1.7E-5</v>
      </c>
      <c r="D161" s="128">
        <v>1.0499999999999999E-5</v>
      </c>
      <c r="E161" s="543"/>
      <c r="F161" s="128">
        <v>1.0499999999999999E-5</v>
      </c>
      <c r="G161" s="128">
        <f t="shared" si="54"/>
        <v>2.9299999999999999E-7</v>
      </c>
      <c r="H161" s="128">
        <f t="shared" si="55"/>
        <v>1.3184529123959856E-6</v>
      </c>
      <c r="I161" s="128">
        <f t="shared" si="61"/>
        <v>2.9299999999999999E-7</v>
      </c>
      <c r="J161" s="128">
        <f t="shared" si="57"/>
        <v>1.4496634807944523E-6</v>
      </c>
      <c r="K161" s="181">
        <f t="shared" si="58"/>
        <v>1.4496634807944523E-6</v>
      </c>
      <c r="L161" s="181">
        <f t="shared" si="60"/>
        <v>6.3495260458797008E-6</v>
      </c>
      <c r="M161" s="414">
        <f t="shared" si="53"/>
        <v>6.3495260458797008E-6</v>
      </c>
    </row>
    <row r="162" spans="1:18" s="136" customFormat="1" ht="12.75" hidden="1" customHeight="1" x14ac:dyDescent="0.2">
      <c r="A162" s="539"/>
      <c r="B162" s="177" t="s">
        <v>284</v>
      </c>
      <c r="C162" s="128"/>
      <c r="D162" s="128"/>
      <c r="E162" s="543"/>
      <c r="F162" s="128"/>
      <c r="G162" s="128">
        <f t="shared" si="54"/>
        <v>0</v>
      </c>
      <c r="H162" s="128">
        <f t="shared" si="55"/>
        <v>0</v>
      </c>
      <c r="I162" s="128"/>
      <c r="J162" s="128">
        <f t="shared" si="57"/>
        <v>0</v>
      </c>
      <c r="K162" s="181">
        <f t="shared" si="58"/>
        <v>0</v>
      </c>
      <c r="L162" s="181"/>
      <c r="M162" s="414"/>
    </row>
    <row r="163" spans="1:18" s="136" customFormat="1" x14ac:dyDescent="0.2">
      <c r="A163" s="539"/>
      <c r="B163" s="177" t="s">
        <v>159</v>
      </c>
      <c r="C163" s="128">
        <v>5.0000000000000004E-6</v>
      </c>
      <c r="D163" s="128">
        <v>4.25E-6</v>
      </c>
      <c r="E163" s="543"/>
      <c r="F163" s="128">
        <v>4.25E-6</v>
      </c>
      <c r="G163" s="128">
        <f t="shared" si="54"/>
        <v>8.6176470588235293E-8</v>
      </c>
      <c r="H163" s="128">
        <f t="shared" si="55"/>
        <v>5.3365951216027997E-7</v>
      </c>
      <c r="I163" s="128">
        <f t="shared" ref="I163:I164" si="62">G163</f>
        <v>8.6176470588235293E-8</v>
      </c>
      <c r="J163" s="128">
        <f t="shared" si="57"/>
        <v>5.8676855175013544E-7</v>
      </c>
      <c r="K163" s="181">
        <f t="shared" si="58"/>
        <v>5.8676855175013544E-7</v>
      </c>
      <c r="L163" s="181">
        <f t="shared" ref="L163:L164" si="63">K163*8760/2000</f>
        <v>2.570046256665593E-6</v>
      </c>
      <c r="M163" s="414">
        <f t="shared" ref="M163:M166" si="64">K163*8760/2000</f>
        <v>2.570046256665593E-6</v>
      </c>
    </row>
    <row r="164" spans="1:18" s="136" customFormat="1" x14ac:dyDescent="0.2">
      <c r="A164" s="539"/>
      <c r="B164" s="177" t="s">
        <v>160</v>
      </c>
      <c r="C164" s="128">
        <v>3.3999999999999998E-3</v>
      </c>
      <c r="D164" s="128">
        <v>6.1999999999999998E-3</v>
      </c>
      <c r="E164" s="543"/>
      <c r="F164" s="128">
        <v>6.1999999999999998E-3</v>
      </c>
      <c r="G164" s="128">
        <f t="shared" si="54"/>
        <v>5.8599999999999988E-5</v>
      </c>
      <c r="H164" s="128">
        <f t="shared" si="55"/>
        <v>7.7851505303382009E-4</v>
      </c>
      <c r="I164" s="128">
        <f t="shared" si="62"/>
        <v>5.8599999999999988E-5</v>
      </c>
      <c r="J164" s="128">
        <f t="shared" si="57"/>
        <v>8.5599176961196222E-4</v>
      </c>
      <c r="K164" s="181">
        <f t="shared" si="58"/>
        <v>8.5599176961196222E-4</v>
      </c>
      <c r="L164" s="181">
        <f t="shared" si="63"/>
        <v>3.7492439509003946E-3</v>
      </c>
      <c r="M164" s="414">
        <f t="shared" si="64"/>
        <v>3.7492439509003946E-3</v>
      </c>
    </row>
    <row r="165" spans="1:18" s="136" customFormat="1" x14ac:dyDescent="0.2">
      <c r="A165" s="539"/>
      <c r="B165" s="177" t="s">
        <v>282</v>
      </c>
      <c r="C165" s="128"/>
      <c r="D165" s="128">
        <v>2.3599999999999999E-4</v>
      </c>
      <c r="E165" s="543"/>
      <c r="F165" s="128">
        <v>2.3599999999999999E-4</v>
      </c>
      <c r="G165" s="128"/>
      <c r="H165" s="128">
        <f t="shared" si="55"/>
        <v>2.9633798792900249E-5</v>
      </c>
      <c r="I165" s="128"/>
      <c r="J165" s="128">
        <f t="shared" si="57"/>
        <v>3.2582912520713398E-5</v>
      </c>
      <c r="K165" s="181">
        <f t="shared" si="58"/>
        <v>3.2582912520713398E-5</v>
      </c>
      <c r="L165" s="181">
        <f>K165*8760/2000</f>
        <v>1.4271315684072469E-4</v>
      </c>
      <c r="M165" s="414">
        <f t="shared" si="64"/>
        <v>1.4271315684072469E-4</v>
      </c>
    </row>
    <row r="166" spans="1:18" s="136" customFormat="1" x14ac:dyDescent="0.2">
      <c r="A166" s="539"/>
      <c r="B166" s="177" t="s">
        <v>161</v>
      </c>
      <c r="C166" s="128"/>
      <c r="D166" s="128">
        <v>1.0900000000000001E-4</v>
      </c>
      <c r="E166" s="543"/>
      <c r="F166" s="128">
        <v>1.0900000000000001E-4</v>
      </c>
      <c r="G166" s="128"/>
      <c r="H166" s="128">
        <f t="shared" si="55"/>
        <v>1.368679690011071E-5</v>
      </c>
      <c r="I166" s="128"/>
      <c r="J166" s="128">
        <f t="shared" si="57"/>
        <v>1.5048887562532887E-5</v>
      </c>
      <c r="K166" s="181">
        <f t="shared" si="58"/>
        <v>1.5048887562532887E-5</v>
      </c>
      <c r="L166" s="181">
        <f t="shared" ref="L166" si="65">K166*8760/2000</f>
        <v>6.5914127523894039E-5</v>
      </c>
      <c r="M166" s="414">
        <f t="shared" si="64"/>
        <v>6.5914127523894039E-5</v>
      </c>
    </row>
    <row r="167" spans="1:18" s="136" customFormat="1" x14ac:dyDescent="0.2">
      <c r="A167" s="539"/>
      <c r="B167" s="177" t="s">
        <v>162</v>
      </c>
      <c r="C167" s="128">
        <v>5.2500000000000003E-3</v>
      </c>
      <c r="D167" s="128"/>
      <c r="E167" s="543"/>
      <c r="F167" s="128"/>
      <c r="G167" s="128">
        <f t="shared" si="54"/>
        <v>9.0485294117647052E-5</v>
      </c>
      <c r="H167" s="128"/>
      <c r="I167" s="128">
        <f t="shared" ref="I167:I176" si="66">G167</f>
        <v>9.0485294117647052E-5</v>
      </c>
      <c r="J167" s="128"/>
      <c r="K167" s="181">
        <f t="shared" si="58"/>
        <v>9.0485294117647052E-5</v>
      </c>
      <c r="L167" s="181">
        <f>K167*8760/2000</f>
        <v>3.9632558823529408E-4</v>
      </c>
      <c r="M167" s="414">
        <f>K167*8760/2000</f>
        <v>3.9632558823529408E-4</v>
      </c>
      <c r="R167" s="168"/>
    </row>
    <row r="168" spans="1:18" s="136" customFormat="1" x14ac:dyDescent="0.2">
      <c r="A168" s="539"/>
      <c r="B168" s="177" t="s">
        <v>163</v>
      </c>
      <c r="C168" s="128">
        <v>2.0000000000000001E-4</v>
      </c>
      <c r="D168" s="128">
        <f>(0.000004)*$H$6/1000</f>
        <v>5.6002E-10</v>
      </c>
      <c r="E168" s="543"/>
      <c r="F168" s="128">
        <f>(0.000004)*$H$6/1000</f>
        <v>5.6002E-10</v>
      </c>
      <c r="G168" s="128">
        <f t="shared" si="54"/>
        <v>3.4470588235294115E-6</v>
      </c>
      <c r="H168" s="128">
        <f t="shared" si="55"/>
        <v>7.0319999999999996E-11</v>
      </c>
      <c r="I168" s="128">
        <f t="shared" si="66"/>
        <v>3.4470588235294115E-6</v>
      </c>
      <c r="J168" s="128">
        <f t="shared" si="57"/>
        <v>7.7318146906143726E-11</v>
      </c>
      <c r="K168" s="181">
        <f t="shared" si="58"/>
        <v>3.4470588235294115E-6</v>
      </c>
      <c r="L168" s="181">
        <f>K168*8760/2000</f>
        <v>1.5098117647058823E-5</v>
      </c>
      <c r="M168" s="414">
        <f>K168*8760/2000</f>
        <v>1.5098117647058823E-5</v>
      </c>
      <c r="R168" s="168"/>
    </row>
    <row r="169" spans="1:18" s="136" customFormat="1" x14ac:dyDescent="0.2">
      <c r="A169" s="539"/>
      <c r="B169" s="177" t="s">
        <v>164</v>
      </c>
      <c r="C169" s="128">
        <v>1.2E-5</v>
      </c>
      <c r="D169" s="128">
        <f>(0.000003)*$H$6/1000</f>
        <v>4.2001499999999997E-10</v>
      </c>
      <c r="E169" s="543"/>
      <c r="F169" s="128">
        <f>(0.000003)*$H$6/1000</f>
        <v>4.2001499999999997E-10</v>
      </c>
      <c r="G169" s="128">
        <f t="shared" si="54"/>
        <v>2.068235294117647E-7</v>
      </c>
      <c r="H169" s="128">
        <f t="shared" si="55"/>
        <v>5.2739999999999991E-11</v>
      </c>
      <c r="I169" s="128">
        <f t="shared" si="66"/>
        <v>2.068235294117647E-7</v>
      </c>
      <c r="J169" s="128">
        <f t="shared" si="57"/>
        <v>5.7988610179607792E-11</v>
      </c>
      <c r="K169" s="181">
        <f t="shared" si="58"/>
        <v>2.068235294117647E-7</v>
      </c>
      <c r="L169" s="181">
        <f t="shared" ref="L169:L175" si="67">K169*8760/2000</f>
        <v>9.0588705882352931E-7</v>
      </c>
      <c r="M169" s="414">
        <f t="shared" ref="M169:M175" si="68">K169*8760/2000</f>
        <v>9.0588705882352931E-7</v>
      </c>
      <c r="R169" s="168"/>
    </row>
    <row r="170" spans="1:18" s="136" customFormat="1" x14ac:dyDescent="0.2">
      <c r="A170" s="539"/>
      <c r="B170" s="177" t="s">
        <v>165</v>
      </c>
      <c r="C170" s="128">
        <v>1.1000000000000001E-3</v>
      </c>
      <c r="D170" s="128">
        <f>(0.000003)*$H$6/1000</f>
        <v>4.2001499999999997E-10</v>
      </c>
      <c r="E170" s="543"/>
      <c r="F170" s="128">
        <f>(0.000003)*$H$6/1000</f>
        <v>4.2001499999999997E-10</v>
      </c>
      <c r="G170" s="128">
        <f t="shared" si="54"/>
        <v>1.8958823529411765E-5</v>
      </c>
      <c r="H170" s="128">
        <f t="shared" si="55"/>
        <v>5.2739999999999991E-11</v>
      </c>
      <c r="I170" s="128">
        <f t="shared" si="66"/>
        <v>1.8958823529411765E-5</v>
      </c>
      <c r="J170" s="128">
        <f t="shared" si="57"/>
        <v>5.7988610179607792E-11</v>
      </c>
      <c r="K170" s="181">
        <f t="shared" si="58"/>
        <v>1.8958823529411765E-5</v>
      </c>
      <c r="L170" s="181">
        <f t="shared" si="67"/>
        <v>8.3039647058823544E-5</v>
      </c>
      <c r="M170" s="414">
        <f t="shared" si="68"/>
        <v>8.3039647058823544E-5</v>
      </c>
      <c r="R170" s="168"/>
    </row>
    <row r="171" spans="1:18" s="136" customFormat="1" x14ac:dyDescent="0.2">
      <c r="A171" s="539"/>
      <c r="B171" s="177" t="s">
        <v>166</v>
      </c>
      <c r="C171" s="128">
        <v>1.4E-3</v>
      </c>
      <c r="D171" s="128">
        <f>(0.000003)*$H$6/1000</f>
        <v>4.2001499999999997E-10</v>
      </c>
      <c r="E171" s="543"/>
      <c r="F171" s="128">
        <f>(0.000003)*$H$6/1000</f>
        <v>4.2001499999999997E-10</v>
      </c>
      <c r="G171" s="128">
        <f t="shared" si="54"/>
        <v>2.4129411764705878E-5</v>
      </c>
      <c r="H171" s="128">
        <f t="shared" si="55"/>
        <v>5.2739999999999991E-11</v>
      </c>
      <c r="I171" s="128">
        <f t="shared" si="66"/>
        <v>2.4129411764705878E-5</v>
      </c>
      <c r="J171" s="128">
        <f t="shared" si="57"/>
        <v>5.7988610179607792E-11</v>
      </c>
      <c r="K171" s="181">
        <f t="shared" si="58"/>
        <v>2.4129411764705878E-5</v>
      </c>
      <c r="L171" s="181">
        <f t="shared" si="67"/>
        <v>1.0568682352941176E-4</v>
      </c>
      <c r="M171" s="414">
        <f t="shared" si="68"/>
        <v>1.0568682352941176E-4</v>
      </c>
      <c r="R171" s="168"/>
    </row>
    <row r="172" spans="1:18" s="136" customFormat="1" x14ac:dyDescent="0.2">
      <c r="A172" s="539"/>
      <c r="B172" s="177" t="s">
        <v>167</v>
      </c>
      <c r="C172" s="128">
        <v>8.3999999999999995E-5</v>
      </c>
      <c r="D172" s="128"/>
      <c r="E172" s="543"/>
      <c r="F172" s="128"/>
      <c r="G172" s="128">
        <f t="shared" si="54"/>
        <v>1.4477647058823526E-6</v>
      </c>
      <c r="H172" s="128"/>
      <c r="I172" s="128">
        <f t="shared" si="66"/>
        <v>1.4477647058823526E-6</v>
      </c>
      <c r="J172" s="128"/>
      <c r="K172" s="181">
        <f t="shared" si="58"/>
        <v>1.4477647058823526E-6</v>
      </c>
      <c r="L172" s="181">
        <f t="shared" si="67"/>
        <v>6.3412094117647046E-6</v>
      </c>
      <c r="M172" s="414">
        <f t="shared" si="68"/>
        <v>6.3412094117647046E-6</v>
      </c>
      <c r="R172" s="168"/>
    </row>
    <row r="173" spans="1:18" s="136" customFormat="1" x14ac:dyDescent="0.2">
      <c r="A173" s="539"/>
      <c r="B173" s="177" t="s">
        <v>168</v>
      </c>
      <c r="C173" s="128">
        <v>3.8000000000000002E-4</v>
      </c>
      <c r="D173" s="128">
        <f>(0.000006)*$H$6/1000</f>
        <v>8.4002999999999994E-10</v>
      </c>
      <c r="E173" s="543"/>
      <c r="F173" s="128">
        <f>(0.000006)*$H$6/1000</f>
        <v>8.4002999999999994E-10</v>
      </c>
      <c r="G173" s="128">
        <f t="shared" si="54"/>
        <v>6.5494117647058819E-6</v>
      </c>
      <c r="H173" s="128">
        <f t="shared" si="55"/>
        <v>1.0547999999999998E-10</v>
      </c>
      <c r="I173" s="128">
        <f t="shared" si="66"/>
        <v>6.5494117647058819E-6</v>
      </c>
      <c r="J173" s="128">
        <f t="shared" si="57"/>
        <v>1.1597722035921558E-10</v>
      </c>
      <c r="K173" s="181">
        <f t="shared" si="58"/>
        <v>6.5494117647058819E-6</v>
      </c>
      <c r="L173" s="181">
        <f t="shared" si="67"/>
        <v>2.8686423529411763E-5</v>
      </c>
      <c r="M173" s="414">
        <f t="shared" si="68"/>
        <v>2.8686423529411763E-5</v>
      </c>
      <c r="R173" s="168"/>
    </row>
    <row r="174" spans="1:18" s="136" customFormat="1" x14ac:dyDescent="0.2">
      <c r="A174" s="539"/>
      <c r="B174" s="177" t="s">
        <v>169</v>
      </c>
      <c r="C174" s="131">
        <v>2.5999999999999998E-4</v>
      </c>
      <c r="D174" s="128">
        <f>(0.000003)*$H$6/1000</f>
        <v>4.2001499999999997E-10</v>
      </c>
      <c r="E174" s="543"/>
      <c r="F174" s="128">
        <f>(0.000003)*$H$6/1000</f>
        <v>4.2001499999999997E-10</v>
      </c>
      <c r="G174" s="128">
        <f t="shared" si="54"/>
        <v>4.4811764705882347E-6</v>
      </c>
      <c r="H174" s="128">
        <f t="shared" si="55"/>
        <v>5.2739999999999991E-11</v>
      </c>
      <c r="I174" s="128">
        <f t="shared" si="66"/>
        <v>4.4811764705882347E-6</v>
      </c>
      <c r="J174" s="128">
        <f t="shared" si="57"/>
        <v>5.7988610179607792E-11</v>
      </c>
      <c r="K174" s="181">
        <f t="shared" si="58"/>
        <v>4.4811764705882347E-6</v>
      </c>
      <c r="L174" s="185">
        <f t="shared" si="67"/>
        <v>1.9627552941176469E-5</v>
      </c>
      <c r="M174" s="414">
        <f t="shared" si="68"/>
        <v>1.9627552941176469E-5</v>
      </c>
      <c r="N174" s="170"/>
      <c r="O174" s="130"/>
      <c r="P174" s="130"/>
      <c r="Q174" s="130"/>
      <c r="R174" s="170"/>
    </row>
    <row r="175" spans="1:18" s="136" customFormat="1" x14ac:dyDescent="0.2">
      <c r="A175" s="539"/>
      <c r="B175" s="177" t="s">
        <v>170</v>
      </c>
      <c r="C175" s="128">
        <v>2.0999999999999999E-3</v>
      </c>
      <c r="D175" s="128">
        <f>(0.000003)*$H$6/1000</f>
        <v>4.2001499999999997E-10</v>
      </c>
      <c r="E175" s="543"/>
      <c r="F175" s="128">
        <f>(0.000003)*$H$6/1000</f>
        <v>4.2001499999999997E-10</v>
      </c>
      <c r="G175" s="128">
        <f t="shared" si="54"/>
        <v>3.6194117647058815E-5</v>
      </c>
      <c r="H175" s="128">
        <f t="shared" si="55"/>
        <v>5.2739999999999991E-11</v>
      </c>
      <c r="I175" s="128">
        <f t="shared" si="66"/>
        <v>3.6194117647058815E-5</v>
      </c>
      <c r="J175" s="128">
        <f t="shared" si="57"/>
        <v>5.7988610179607792E-11</v>
      </c>
      <c r="K175" s="181">
        <f t="shared" si="58"/>
        <v>3.6194117647058815E-5</v>
      </c>
      <c r="L175" s="181">
        <f t="shared" si="67"/>
        <v>1.5853023529411762E-4</v>
      </c>
      <c r="M175" s="414">
        <f t="shared" si="68"/>
        <v>1.5853023529411762E-4</v>
      </c>
      <c r="P175" s="130"/>
      <c r="Q175" s="130"/>
      <c r="R175" s="175"/>
    </row>
    <row r="176" spans="1:18" s="136" customFormat="1" x14ac:dyDescent="0.2">
      <c r="A176" s="539"/>
      <c r="B176" s="177" t="s">
        <v>171</v>
      </c>
      <c r="C176" s="128">
        <v>2.4000000000000001E-5</v>
      </c>
      <c r="D176" s="128">
        <f>(0.000015)*$H$6/1000</f>
        <v>2.1000750000000001E-9</v>
      </c>
      <c r="E176" s="543"/>
      <c r="F176" s="128">
        <f>(0.000015)*$H$6/1000</f>
        <v>2.1000750000000001E-9</v>
      </c>
      <c r="G176" s="128">
        <f t="shared" si="54"/>
        <v>4.1364705882352939E-7</v>
      </c>
      <c r="H176" s="128">
        <f t="shared" si="55"/>
        <v>2.6369999999999998E-10</v>
      </c>
      <c r="I176" s="128">
        <f t="shared" si="66"/>
        <v>4.1364705882352939E-7</v>
      </c>
      <c r="J176" s="128">
        <f t="shared" si="57"/>
        <v>2.89943050898039E-10</v>
      </c>
      <c r="K176" s="181">
        <f>MAX(G176:J176)</f>
        <v>4.1364705882352939E-7</v>
      </c>
      <c r="L176" s="181">
        <f>K176*8760/2000</f>
        <v>1.8117741176470586E-6</v>
      </c>
      <c r="M176" s="414">
        <f>K176*8760/2000</f>
        <v>1.8117741176470586E-6</v>
      </c>
      <c r="R176" s="175"/>
    </row>
    <row r="177" spans="1:20" s="136" customFormat="1" x14ac:dyDescent="0.2">
      <c r="A177" s="539"/>
      <c r="B177" s="178" t="s">
        <v>172</v>
      </c>
      <c r="C177" s="128"/>
      <c r="D177" s="128"/>
      <c r="E177" s="543"/>
      <c r="F177" s="128"/>
      <c r="G177" s="118">
        <f>SUM(G139:G176)</f>
        <v>3.2650661823529409E-2</v>
      </c>
      <c r="H177" s="118">
        <f>SUM(H139:H176)</f>
        <v>5.1500853411772145E-3</v>
      </c>
      <c r="I177" s="118">
        <f>SUM(I139:I176)</f>
        <v>3.2650661823529409E-2</v>
      </c>
      <c r="J177" s="118">
        <f>SUM(J139:J176)</f>
        <v>5.6626145476154346E-3</v>
      </c>
      <c r="K177" s="180">
        <f>MAX(G177:J177)</f>
        <v>3.2650661823529409E-2</v>
      </c>
      <c r="L177" s="180">
        <f>K177*8760/2000</f>
        <v>0.1430098987870588</v>
      </c>
      <c r="M177" s="415">
        <f>K177*8760/2000</f>
        <v>0.1430098987870588</v>
      </c>
      <c r="R177" s="163"/>
    </row>
    <row r="178" spans="1:20" s="136" customFormat="1" x14ac:dyDescent="0.2">
      <c r="A178" s="539"/>
      <c r="B178" s="178" t="s">
        <v>173</v>
      </c>
      <c r="C178" s="128">
        <v>5.0000000000000001E-4</v>
      </c>
      <c r="D178" s="128">
        <f>(0.000009)*$H$6/1000</f>
        <v>1.2600450000000001E-9</v>
      </c>
      <c r="E178" s="544"/>
      <c r="F178" s="128">
        <f>(0.000009)*$H$137/1000</f>
        <v>1.145997E-9</v>
      </c>
      <c r="G178" s="128">
        <f t="shared" si="54"/>
        <v>8.6176470588235283E-6</v>
      </c>
      <c r="H178" s="128">
        <f t="shared" si="55"/>
        <v>1.5822E-10</v>
      </c>
      <c r="I178" s="128">
        <f>G178</f>
        <v>8.6176470588235283E-6</v>
      </c>
      <c r="J178" s="128">
        <f>F178*$B$137</f>
        <v>1.5822E-10</v>
      </c>
      <c r="K178" s="181">
        <f>MAX(G178:J178)</f>
        <v>8.6176470588235283E-6</v>
      </c>
      <c r="L178" s="181">
        <f t="shared" ref="L178" si="69">K178*8760/2000</f>
        <v>3.7745294117647058E-5</v>
      </c>
      <c r="M178" s="416">
        <f t="shared" ref="M178:M184" si="70">K178*8760/2000</f>
        <v>3.7745294117647058E-5</v>
      </c>
      <c r="R178" s="163"/>
    </row>
    <row r="179" spans="1:20" s="136" customFormat="1" x14ac:dyDescent="0.2">
      <c r="A179" s="539"/>
      <c r="B179" s="178" t="s">
        <v>174</v>
      </c>
      <c r="C179" s="128">
        <v>7.6</v>
      </c>
      <c r="D179" s="128">
        <v>2</v>
      </c>
      <c r="E179" s="128">
        <v>0.7</v>
      </c>
      <c r="F179" s="128">
        <v>2</v>
      </c>
      <c r="G179" s="118">
        <f t="shared" ref="G179" si="71">C179*$B$135</f>
        <v>0.13098823529411763</v>
      </c>
      <c r="H179" s="118">
        <f t="shared" ref="H179" si="72">D179*$B$134</f>
        <v>0.25113388807542586</v>
      </c>
      <c r="I179" s="118">
        <f t="shared" ref="I179:I188" si="73">E179*$B$136</f>
        <v>0.13449180327868851</v>
      </c>
      <c r="J179" s="118">
        <f>F179*$B$137</f>
        <v>0.27612637729418138</v>
      </c>
      <c r="K179" s="180">
        <f>MAX(G179:J179)</f>
        <v>0.27612637729418138</v>
      </c>
      <c r="L179" s="180">
        <f>K179*8760/2000</f>
        <v>1.2094335325485144</v>
      </c>
      <c r="M179" s="415">
        <f t="shared" si="70"/>
        <v>1.2094335325485144</v>
      </c>
      <c r="R179" s="163"/>
    </row>
    <row r="180" spans="1:20" s="136" customFormat="1" ht="14.25" x14ac:dyDescent="0.25">
      <c r="A180" s="539"/>
      <c r="B180" s="178" t="s">
        <v>17</v>
      </c>
      <c r="C180" s="128">
        <v>7.6</v>
      </c>
      <c r="D180" s="128">
        <v>1</v>
      </c>
      <c r="E180" s="128">
        <v>0.7</v>
      </c>
      <c r="F180" s="128">
        <v>1</v>
      </c>
      <c r="G180" s="118">
        <f t="shared" ref="G180:G185" si="74">C180*$B$135</f>
        <v>0.13098823529411763</v>
      </c>
      <c r="H180" s="118">
        <f t="shared" ref="H180:H185" si="75">D180*$B$134</f>
        <v>0.12556694403771293</v>
      </c>
      <c r="I180" s="118">
        <f t="shared" si="73"/>
        <v>0.13449180327868851</v>
      </c>
      <c r="J180" s="118">
        <f t="shared" ref="J180:J188" si="76">F180*$B$137</f>
        <v>0.13806318864709069</v>
      </c>
      <c r="K180" s="180">
        <f t="shared" ref="K180:K188" si="77">MAX(G180:J180)</f>
        <v>0.13806318864709069</v>
      </c>
      <c r="L180" s="180">
        <f t="shared" ref="L180:L183" si="78">K180*8760/2000</f>
        <v>0.60471676627425719</v>
      </c>
      <c r="M180" s="415">
        <f t="shared" si="70"/>
        <v>0.60471676627425719</v>
      </c>
      <c r="R180" s="163"/>
    </row>
    <row r="181" spans="1:20" s="136" customFormat="1" ht="14.25" x14ac:dyDescent="0.25">
      <c r="A181" s="539"/>
      <c r="B181" s="178" t="s">
        <v>16</v>
      </c>
      <c r="C181" s="128">
        <v>7.6</v>
      </c>
      <c r="D181" s="128">
        <v>0.25</v>
      </c>
      <c r="E181" s="128">
        <v>0.7</v>
      </c>
      <c r="F181" s="128">
        <v>0.25</v>
      </c>
      <c r="G181" s="118">
        <f t="shared" si="74"/>
        <v>0.13098823529411763</v>
      </c>
      <c r="H181" s="118">
        <f t="shared" si="75"/>
        <v>3.1391736009428232E-2</v>
      </c>
      <c r="I181" s="118">
        <f t="shared" si="73"/>
        <v>0.13449180327868851</v>
      </c>
      <c r="J181" s="118">
        <f t="shared" si="76"/>
        <v>3.4515797161772672E-2</v>
      </c>
      <c r="K181" s="180">
        <f t="shared" si="77"/>
        <v>0.13449180327868851</v>
      </c>
      <c r="L181" s="180">
        <f t="shared" si="78"/>
        <v>0.58907409836065561</v>
      </c>
      <c r="M181" s="415">
        <f t="shared" si="70"/>
        <v>0.58907409836065561</v>
      </c>
      <c r="R181" s="163"/>
    </row>
    <row r="182" spans="1:20" s="136" customFormat="1" ht="14.25" x14ac:dyDescent="0.25">
      <c r="A182" s="539"/>
      <c r="B182" s="178" t="s">
        <v>253</v>
      </c>
      <c r="C182" s="128">
        <v>0.6</v>
      </c>
      <c r="D182" s="128">
        <f>142*L134</f>
        <v>0.21299999999999999</v>
      </c>
      <c r="E182" s="371">
        <f>0.1*L136</f>
        <v>1.5</v>
      </c>
      <c r="F182" s="128">
        <f>142*L137</f>
        <v>14.200000000000001</v>
      </c>
      <c r="G182" s="118">
        <f t="shared" si="74"/>
        <v>1.0341176470588234E-2</v>
      </c>
      <c r="H182" s="118">
        <f t="shared" si="75"/>
        <v>2.6745759080032853E-2</v>
      </c>
      <c r="I182" s="118">
        <f t="shared" si="73"/>
        <v>0.28819672131147539</v>
      </c>
      <c r="J182" s="118">
        <f t="shared" si="76"/>
        <v>1.9604972787886878</v>
      </c>
      <c r="K182" s="184">
        <f t="shared" si="77"/>
        <v>1.9604972787886878</v>
      </c>
      <c r="L182" s="184">
        <f t="shared" si="78"/>
        <v>8.5869780810944523</v>
      </c>
      <c r="M182" s="415">
        <f t="shared" si="70"/>
        <v>8.5869780810944523</v>
      </c>
      <c r="R182" s="163"/>
    </row>
    <row r="183" spans="1:20" s="136" customFormat="1" x14ac:dyDescent="0.2">
      <c r="A183" s="539"/>
      <c r="B183" s="178" t="s">
        <v>178</v>
      </c>
      <c r="C183" s="128">
        <v>100</v>
      </c>
      <c r="D183" s="128">
        <v>20</v>
      </c>
      <c r="E183" s="128">
        <v>13</v>
      </c>
      <c r="F183" s="128">
        <v>20</v>
      </c>
      <c r="G183" s="118">
        <f t="shared" si="74"/>
        <v>1.7235294117647058</v>
      </c>
      <c r="H183" s="118">
        <f t="shared" si="75"/>
        <v>2.5113388807542587</v>
      </c>
      <c r="I183" s="118">
        <f t="shared" si="73"/>
        <v>2.4977049180327868</v>
      </c>
      <c r="J183" s="118">
        <f t="shared" si="76"/>
        <v>2.7612637729418137</v>
      </c>
      <c r="K183" s="184">
        <f t="shared" si="77"/>
        <v>2.7612637729418137</v>
      </c>
      <c r="L183" s="184">
        <f t="shared" si="78"/>
        <v>12.094335325485144</v>
      </c>
      <c r="M183" s="415">
        <f t="shared" si="70"/>
        <v>12.094335325485144</v>
      </c>
      <c r="P183" s="130"/>
      <c r="Q183" s="130"/>
      <c r="R183" s="164"/>
    </row>
    <row r="184" spans="1:20" s="136" customFormat="1" x14ac:dyDescent="0.2">
      <c r="A184" s="539"/>
      <c r="B184" s="178" t="s">
        <v>15</v>
      </c>
      <c r="C184" s="128">
        <v>5.5</v>
      </c>
      <c r="D184" s="128">
        <v>0.34</v>
      </c>
      <c r="E184" s="128">
        <f>1-0.2</f>
        <v>0.8</v>
      </c>
      <c r="F184" s="128">
        <v>0.34</v>
      </c>
      <c r="G184" s="118">
        <f t="shared" si="74"/>
        <v>9.4794117647058806E-2</v>
      </c>
      <c r="H184" s="118">
        <f t="shared" si="75"/>
        <v>4.2692760972822402E-2</v>
      </c>
      <c r="I184" s="118">
        <f t="shared" si="73"/>
        <v>0.15370491803278688</v>
      </c>
      <c r="J184" s="118">
        <f t="shared" si="76"/>
        <v>4.6941484140010835E-2</v>
      </c>
      <c r="K184" s="184">
        <f t="shared" si="77"/>
        <v>0.15370491803278688</v>
      </c>
      <c r="L184" s="184">
        <f>K184*8760/2000</f>
        <v>0.6732275409836066</v>
      </c>
      <c r="M184" s="415">
        <f t="shared" si="70"/>
        <v>0.6732275409836066</v>
      </c>
      <c r="Q184" s="134"/>
      <c r="R184" s="163"/>
    </row>
    <row r="185" spans="1:20" s="136" customFormat="1" x14ac:dyDescent="0.2">
      <c r="A185" s="539"/>
      <c r="B185" s="178" t="s">
        <v>215</v>
      </c>
      <c r="C185" s="128">
        <v>84</v>
      </c>
      <c r="D185" s="131">
        <v>5</v>
      </c>
      <c r="E185" s="128">
        <v>7.5</v>
      </c>
      <c r="F185" s="131">
        <v>5</v>
      </c>
      <c r="G185" s="118">
        <f t="shared" si="74"/>
        <v>1.4477647058823528</v>
      </c>
      <c r="H185" s="118">
        <f t="shared" si="75"/>
        <v>0.62783472018856468</v>
      </c>
      <c r="I185" s="118">
        <f t="shared" si="73"/>
        <v>1.4409836065573769</v>
      </c>
      <c r="J185" s="118">
        <f t="shared" si="76"/>
        <v>0.69031594323545342</v>
      </c>
      <c r="K185" s="184">
        <f t="shared" si="77"/>
        <v>1.4477647058823528</v>
      </c>
      <c r="L185" s="184">
        <f t="shared" ref="L185:L190" si="79">K185*8760/2000</f>
        <v>6.341209411764706</v>
      </c>
      <c r="M185" s="415">
        <f t="shared" ref="M185:M190" si="80">K185*8760/2000</f>
        <v>6.341209411764706</v>
      </c>
      <c r="Q185" s="134"/>
      <c r="R185" s="176"/>
    </row>
    <row r="186" spans="1:20" s="136" customFormat="1" ht="14.25" x14ac:dyDescent="0.25">
      <c r="A186" s="539"/>
      <c r="B186" s="178" t="s">
        <v>273</v>
      </c>
      <c r="C186" s="128">
        <v>120000</v>
      </c>
      <c r="D186" s="128">
        <v>22300</v>
      </c>
      <c r="E186" s="128">
        <v>12500</v>
      </c>
      <c r="F186" s="128">
        <v>22300</v>
      </c>
      <c r="G186" s="368">
        <f>C186*$B$135</f>
        <v>2068.2352941176468</v>
      </c>
      <c r="H186" s="368">
        <f>D186*$B$134</f>
        <v>2800.1428520409982</v>
      </c>
      <c r="I186" s="368">
        <f t="shared" si="73"/>
        <v>2401.6393442622948</v>
      </c>
      <c r="J186" s="368">
        <f t="shared" si="76"/>
        <v>3078.8091068301223</v>
      </c>
      <c r="K186" s="182">
        <f t="shared" si="77"/>
        <v>3078.8091068301223</v>
      </c>
      <c r="L186" s="182">
        <f t="shared" si="79"/>
        <v>13485.183887915935</v>
      </c>
      <c r="M186" s="417">
        <f t="shared" si="80"/>
        <v>13485.183887915935</v>
      </c>
      <c r="R186" s="163"/>
    </row>
    <row r="187" spans="1:20" s="136" customFormat="1" ht="14.25" x14ac:dyDescent="0.25">
      <c r="A187" s="539"/>
      <c r="B187" s="178" t="s">
        <v>274</v>
      </c>
      <c r="C187" s="128">
        <v>2.2999999999999998</v>
      </c>
      <c r="D187" s="128">
        <v>5.1999999999999998E-2</v>
      </c>
      <c r="E187" s="128">
        <v>0.2</v>
      </c>
      <c r="F187" s="128">
        <v>5.1999999999999998E-2</v>
      </c>
      <c r="G187" s="118">
        <f t="shared" ref="G187" si="81">C187*$B$7</f>
        <v>0.11499999999999999</v>
      </c>
      <c r="H187" s="118">
        <f t="shared" ref="H187" si="82">D187*$B$6</f>
        <v>1.8942180636405844E-2</v>
      </c>
      <c r="I187" s="118">
        <f t="shared" si="73"/>
        <v>3.842622950819672E-2</v>
      </c>
      <c r="J187" s="118">
        <f t="shared" si="76"/>
        <v>7.1792858096487158E-3</v>
      </c>
      <c r="K187" s="180">
        <f t="shared" si="77"/>
        <v>0.11499999999999999</v>
      </c>
      <c r="L187" s="180">
        <f t="shared" si="79"/>
        <v>0.50370000000000004</v>
      </c>
      <c r="M187" s="415">
        <f t="shared" si="80"/>
        <v>0.50370000000000004</v>
      </c>
      <c r="R187" s="163"/>
    </row>
    <row r="188" spans="1:20" s="136" customFormat="1" ht="14.25" x14ac:dyDescent="0.25">
      <c r="A188" s="539"/>
      <c r="B188" s="178" t="s">
        <v>275</v>
      </c>
      <c r="C188" s="128">
        <v>2.2000000000000002</v>
      </c>
      <c r="D188" s="128">
        <v>0.26</v>
      </c>
      <c r="E188" s="128">
        <v>0.9</v>
      </c>
      <c r="F188" s="128">
        <v>0.26</v>
      </c>
      <c r="G188" s="118">
        <f>C188*$B$7</f>
        <v>0.11000000000000001</v>
      </c>
      <c r="H188" s="118">
        <f>D188*$B$6</f>
        <v>9.4710903182029224E-2</v>
      </c>
      <c r="I188" s="118">
        <f t="shared" si="73"/>
        <v>0.17291803278688525</v>
      </c>
      <c r="J188" s="118">
        <f t="shared" si="76"/>
        <v>3.5896429048243583E-2</v>
      </c>
      <c r="K188" s="180">
        <f t="shared" si="77"/>
        <v>0.17291803278688525</v>
      </c>
      <c r="L188" s="180">
        <f t="shared" si="79"/>
        <v>0.75738098360655737</v>
      </c>
      <c r="M188" s="415">
        <f t="shared" si="80"/>
        <v>0.75738098360655737</v>
      </c>
      <c r="R188" s="163"/>
    </row>
    <row r="189" spans="1:20" s="136" customFormat="1" x14ac:dyDescent="0.2">
      <c r="A189" s="539"/>
      <c r="B189" s="178" t="s">
        <v>184</v>
      </c>
      <c r="C189" s="128"/>
      <c r="D189" s="128"/>
      <c r="E189" s="128"/>
      <c r="F189" s="128"/>
      <c r="G189" s="368">
        <f t="shared" ref="G189:H189" si="83">SUM(G186:G188)</f>
        <v>2068.4602941176468</v>
      </c>
      <c r="H189" s="368">
        <f t="shared" si="83"/>
        <v>2800.2565051248166</v>
      </c>
      <c r="I189" s="368">
        <f>SUM(I186:I188)</f>
        <v>2401.8506885245902</v>
      </c>
      <c r="J189" s="368">
        <f>SUM(J186:J188)</f>
        <v>3078.8521825449802</v>
      </c>
      <c r="K189" s="182">
        <f>MAX(G189:J189)</f>
        <v>3078.8521825449802</v>
      </c>
      <c r="L189" s="182">
        <f>K189*8760/2000</f>
        <v>13485.372559547013</v>
      </c>
      <c r="M189" s="417">
        <f t="shared" si="80"/>
        <v>13485.372559547013</v>
      </c>
      <c r="R189" s="163"/>
    </row>
    <row r="190" spans="1:20" s="136" customFormat="1" ht="15" thickBot="1" x14ac:dyDescent="0.3">
      <c r="A190" s="540"/>
      <c r="B190" s="418" t="s">
        <v>254</v>
      </c>
      <c r="C190" s="419"/>
      <c r="D190" s="419"/>
      <c r="E190" s="419"/>
      <c r="F190" s="419"/>
      <c r="G190" s="420">
        <f t="shared" ref="G190" si="84">G186+(G187*21)+(G188*310)</f>
        <v>2104.7502941176467</v>
      </c>
      <c r="H190" s="420">
        <f>H186+(H187*21)+(H188*310)</f>
        <v>2829.9010178207918</v>
      </c>
      <c r="I190" s="420">
        <f>I186+(I187*21)+(I188*310)</f>
        <v>2456.0508852459016</v>
      </c>
      <c r="J190" s="420">
        <f>J186+(J187*21)+(J188*310)</f>
        <v>3090.0877648370806</v>
      </c>
      <c r="K190" s="421">
        <f>MAX(G190:J190)</f>
        <v>3090.0877648370806</v>
      </c>
      <c r="L190" s="421">
        <f t="shared" si="79"/>
        <v>13534.584409986413</v>
      </c>
      <c r="M190" s="422">
        <f t="shared" si="80"/>
        <v>13534.584409986413</v>
      </c>
      <c r="R190" s="163"/>
    </row>
    <row r="191" spans="1:20" s="136" customFormat="1" x14ac:dyDescent="0.2">
      <c r="A191" s="370" t="s">
        <v>324</v>
      </c>
      <c r="B191" s="165"/>
      <c r="C191" s="402"/>
      <c r="D191" s="402"/>
      <c r="E191" s="402"/>
      <c r="F191" s="402"/>
      <c r="G191" s="403"/>
      <c r="H191" s="403"/>
      <c r="I191" s="403"/>
      <c r="J191" s="403"/>
      <c r="K191" s="404"/>
      <c r="L191" s="404"/>
      <c r="M191" s="405"/>
      <c r="O191" s="133"/>
      <c r="P191" s="114"/>
      <c r="R191" s="172"/>
      <c r="S191" s="172"/>
      <c r="T191" s="172"/>
    </row>
    <row r="192" spans="1:20" s="136" customFormat="1" ht="27.75" customHeight="1" x14ac:dyDescent="0.2">
      <c r="A192" s="541" t="s">
        <v>321</v>
      </c>
      <c r="B192" s="541"/>
      <c r="C192" s="541"/>
      <c r="D192" s="541"/>
      <c r="E192" s="541"/>
      <c r="F192" s="541"/>
      <c r="G192" s="541"/>
      <c r="H192" s="541"/>
      <c r="I192" s="541"/>
      <c r="J192" s="541"/>
      <c r="K192" s="541"/>
      <c r="L192" s="541"/>
      <c r="M192" s="541"/>
    </row>
    <row r="193" spans="1:18" s="130" customFormat="1" ht="18" x14ac:dyDescent="0.25">
      <c r="A193" s="536" t="s">
        <v>20</v>
      </c>
      <c r="B193" s="536"/>
      <c r="C193" s="536"/>
      <c r="D193" s="536"/>
      <c r="E193" s="536"/>
      <c r="F193" s="536"/>
      <c r="G193" s="536"/>
      <c r="H193" s="536"/>
      <c r="I193" s="536"/>
      <c r="J193" s="536"/>
      <c r="K193" s="536"/>
      <c r="L193" s="536"/>
      <c r="M193" s="536"/>
    </row>
    <row r="194" spans="1:18" s="130" customFormat="1" ht="15.75" x14ac:dyDescent="0.25">
      <c r="A194" s="537" t="s">
        <v>295</v>
      </c>
      <c r="B194" s="537"/>
      <c r="C194" s="537"/>
      <c r="D194" s="537"/>
      <c r="E194" s="537"/>
      <c r="F194" s="537"/>
      <c r="G194" s="537"/>
      <c r="H194" s="537"/>
      <c r="I194" s="537"/>
      <c r="J194" s="537"/>
      <c r="K194" s="537"/>
      <c r="L194" s="537"/>
      <c r="M194" s="537"/>
    </row>
    <row r="195" spans="1:18" s="130" customFormat="1" ht="15.75" x14ac:dyDescent="0.25">
      <c r="A195" s="537" t="s">
        <v>269</v>
      </c>
      <c r="B195" s="537"/>
      <c r="C195" s="537"/>
      <c r="D195" s="537"/>
      <c r="E195" s="537"/>
      <c r="F195" s="537"/>
      <c r="G195" s="537"/>
      <c r="H195" s="537"/>
      <c r="I195" s="537"/>
      <c r="J195" s="537"/>
      <c r="K195" s="537"/>
      <c r="L195" s="537"/>
      <c r="M195" s="537"/>
    </row>
    <row r="196" spans="1:18" s="130" customFormat="1" ht="15.75" customHeight="1" x14ac:dyDescent="0.2">
      <c r="A196" s="165" t="s">
        <v>116</v>
      </c>
      <c r="B196" s="408"/>
      <c r="C196" s="408"/>
      <c r="D196" s="408"/>
      <c r="E196" s="174"/>
      <c r="F196" s="174"/>
      <c r="G196" s="174"/>
      <c r="H196" s="174"/>
      <c r="I196" s="174"/>
      <c r="J196" s="174"/>
      <c r="K196" s="174"/>
      <c r="L196" s="174"/>
      <c r="M196" s="174"/>
    </row>
    <row r="197" spans="1:18" s="136" customFormat="1" x14ac:dyDescent="0.2">
      <c r="A197" s="130" t="s">
        <v>117</v>
      </c>
      <c r="B197" s="166">
        <v>37</v>
      </c>
      <c r="C197" s="166" t="s">
        <v>312</v>
      </c>
      <c r="D197" s="134">
        <v>900</v>
      </c>
      <c r="E197" s="190" t="s">
        <v>311</v>
      </c>
      <c r="J197" s="130"/>
      <c r="K197" s="130"/>
      <c r="L197" s="130"/>
      <c r="M197" s="130"/>
      <c r="N197" s="170"/>
      <c r="O197" s="130"/>
      <c r="P197" s="130"/>
      <c r="Q197" s="130"/>
      <c r="R197" s="130"/>
    </row>
    <row r="198" spans="1:18" s="136" customFormat="1" x14ac:dyDescent="0.2">
      <c r="A198" s="130" t="s">
        <v>122</v>
      </c>
      <c r="B198" s="130">
        <f>B197/H198/1000</f>
        <v>0.26427627584729119</v>
      </c>
      <c r="C198" s="130" t="s">
        <v>119</v>
      </c>
      <c r="D198" s="130"/>
      <c r="E198" s="130" t="s">
        <v>123</v>
      </c>
      <c r="F198" s="130"/>
      <c r="G198" s="130"/>
      <c r="H198" s="130">
        <f>140005/1000000</f>
        <v>0.14000499999999999</v>
      </c>
      <c r="I198" s="130" t="s">
        <v>121</v>
      </c>
      <c r="J198" s="130"/>
      <c r="K198" s="130" t="s">
        <v>259</v>
      </c>
      <c r="L198" s="167">
        <f>15/1000000*100</f>
        <v>1.5E-3</v>
      </c>
      <c r="M198" s="130" t="s">
        <v>258</v>
      </c>
      <c r="N198" s="130"/>
      <c r="O198" s="130"/>
      <c r="P198" s="130"/>
      <c r="Q198" s="130"/>
      <c r="R198" s="130"/>
    </row>
    <row r="199" spans="1:18" s="136" customFormat="1" x14ac:dyDescent="0.2">
      <c r="A199" s="370" t="s">
        <v>314</v>
      </c>
      <c r="B199" s="130">
        <f>B197/H199/1000</f>
        <v>0.40437158469945356</v>
      </c>
      <c r="C199" s="370" t="s">
        <v>119</v>
      </c>
      <c r="D199" s="130"/>
      <c r="E199" s="370" t="s">
        <v>315</v>
      </c>
      <c r="F199" s="130"/>
      <c r="G199" s="130"/>
      <c r="H199" s="130">
        <f>91.5/1000</f>
        <v>9.1499999999999998E-2</v>
      </c>
      <c r="I199" s="370" t="s">
        <v>121</v>
      </c>
      <c r="J199" s="130"/>
      <c r="K199" s="190" t="s">
        <v>318</v>
      </c>
      <c r="L199" s="130">
        <v>15</v>
      </c>
      <c r="M199" s="190" t="s">
        <v>322</v>
      </c>
      <c r="N199" s="130"/>
      <c r="O199" s="130"/>
      <c r="P199" s="130"/>
      <c r="Q199" s="130"/>
      <c r="R199" s="130"/>
    </row>
    <row r="200" spans="1:18" s="136" customFormat="1" ht="13.5" thickBot="1" x14ac:dyDescent="0.25">
      <c r="A200" s="190" t="s">
        <v>124</v>
      </c>
      <c r="B200" s="130">
        <f>B197/H200</f>
        <v>3.6274509803921572E-2</v>
      </c>
      <c r="C200" s="130" t="s">
        <v>125</v>
      </c>
      <c r="E200" s="130" t="s">
        <v>126</v>
      </c>
      <c r="F200" s="130"/>
      <c r="H200" s="130">
        <v>1020</v>
      </c>
      <c r="I200" s="130" t="s">
        <v>127</v>
      </c>
      <c r="N200" s="130"/>
      <c r="O200" s="130"/>
      <c r="P200" s="130"/>
      <c r="Q200" s="130"/>
      <c r="R200" s="130"/>
    </row>
    <row r="201" spans="1:18" s="186" customFormat="1" ht="63.75" x14ac:dyDescent="0.2">
      <c r="A201" s="410" t="s">
        <v>128</v>
      </c>
      <c r="B201" s="411" t="s">
        <v>19</v>
      </c>
      <c r="C201" s="411" t="s">
        <v>129</v>
      </c>
      <c r="D201" s="411" t="s">
        <v>130</v>
      </c>
      <c r="E201" s="411" t="s">
        <v>320</v>
      </c>
      <c r="F201" s="411" t="s">
        <v>132</v>
      </c>
      <c r="G201" s="411" t="s">
        <v>133</v>
      </c>
      <c r="H201" s="411" t="s">
        <v>313</v>
      </c>
      <c r="I201" s="411" t="s">
        <v>135</v>
      </c>
      <c r="J201" s="411" t="s">
        <v>136</v>
      </c>
      <c r="K201" s="412" t="s">
        <v>137</v>
      </c>
    </row>
    <row r="202" spans="1:18" s="136" customFormat="1" x14ac:dyDescent="0.2">
      <c r="A202" s="545" t="s">
        <v>323</v>
      </c>
      <c r="B202" s="177" t="s">
        <v>139</v>
      </c>
      <c r="C202" s="128">
        <v>1.7999999999999999E-6</v>
      </c>
      <c r="D202" s="128">
        <v>2.1100000000000001E-5</v>
      </c>
      <c r="E202" s="542" t="s">
        <v>319</v>
      </c>
      <c r="F202" s="128">
        <f t="shared" ref="F202:F214" si="85">C202*$B$200</f>
        <v>6.5294117647058821E-8</v>
      </c>
      <c r="G202" s="128">
        <f t="shared" ref="G202:G239" si="86">D202*$B$198</f>
        <v>5.5762294203778441E-6</v>
      </c>
      <c r="H202" s="128">
        <f>F202</f>
        <v>6.5294117647058821E-8</v>
      </c>
      <c r="I202" s="181">
        <f t="shared" ref="I202:I239" si="87">MAX(F202:G202)</f>
        <v>5.5762294203778441E-6</v>
      </c>
      <c r="J202" s="181">
        <f>I202*8760/2000</f>
        <v>2.4423884861254957E-5</v>
      </c>
      <c r="K202" s="413">
        <f>I202*8760/2000</f>
        <v>2.4423884861254957E-5</v>
      </c>
    </row>
    <row r="203" spans="1:18" s="136" customFormat="1" x14ac:dyDescent="0.2">
      <c r="A203" s="546"/>
      <c r="B203" s="177" t="s">
        <v>140</v>
      </c>
      <c r="C203" s="128">
        <v>1.7999999999999999E-6</v>
      </c>
      <c r="D203" s="128">
        <v>2.53E-7</v>
      </c>
      <c r="E203" s="543"/>
      <c r="F203" s="128">
        <f t="shared" si="85"/>
        <v>6.5294117647058821E-8</v>
      </c>
      <c r="G203" s="128">
        <f t="shared" si="86"/>
        <v>6.6861897789364671E-8</v>
      </c>
      <c r="H203" s="128">
        <f t="shared" ref="H203:H239" si="88">F203</f>
        <v>6.5294117647058821E-8</v>
      </c>
      <c r="I203" s="181">
        <f t="shared" si="87"/>
        <v>6.6861897789364671E-8</v>
      </c>
      <c r="J203" s="181">
        <f t="shared" ref="J203:J224" si="89">I203*8760/2000</f>
        <v>2.9285511231741728E-7</v>
      </c>
      <c r="K203" s="413">
        <f t="shared" ref="K203:K224" si="90">I203*8760/2000</f>
        <v>2.9285511231741728E-7</v>
      </c>
    </row>
    <row r="204" spans="1:18" s="136" customFormat="1" ht="12.75" customHeight="1" x14ac:dyDescent="0.2">
      <c r="A204" s="546"/>
      <c r="B204" s="177" t="s">
        <v>141</v>
      </c>
      <c r="C204" s="128">
        <v>2.3999999999999999E-6</v>
      </c>
      <c r="D204" s="128">
        <v>1.22E-6</v>
      </c>
      <c r="E204" s="543"/>
      <c r="F204" s="128">
        <f t="shared" si="85"/>
        <v>8.705882352941177E-8</v>
      </c>
      <c r="G204" s="128">
        <f t="shared" si="86"/>
        <v>3.2241705653369525E-7</v>
      </c>
      <c r="H204" s="128">
        <f t="shared" si="88"/>
        <v>8.705882352941177E-8</v>
      </c>
      <c r="I204" s="181">
        <f t="shared" si="87"/>
        <v>3.2241705653369525E-7</v>
      </c>
      <c r="J204" s="181">
        <f t="shared" si="89"/>
        <v>1.4121867076175852E-6</v>
      </c>
      <c r="K204" s="413">
        <f t="shared" si="90"/>
        <v>1.4121867076175852E-6</v>
      </c>
    </row>
    <row r="205" spans="1:18" s="136" customFormat="1" x14ac:dyDescent="0.2">
      <c r="A205" s="546"/>
      <c r="B205" s="177" t="s">
        <v>186</v>
      </c>
      <c r="C205" s="128">
        <v>1.7999999999999999E-6</v>
      </c>
      <c r="D205" s="128">
        <v>4.0099999999999997E-6</v>
      </c>
      <c r="E205" s="543"/>
      <c r="F205" s="128">
        <f t="shared" si="85"/>
        <v>6.5294117647058821E-8</v>
      </c>
      <c r="G205" s="128">
        <f t="shared" si="86"/>
        <v>1.0597478661476376E-6</v>
      </c>
      <c r="H205" s="128">
        <f t="shared" si="88"/>
        <v>6.5294117647058821E-8</v>
      </c>
      <c r="I205" s="181">
        <f t="shared" si="87"/>
        <v>1.0597478661476376E-6</v>
      </c>
      <c r="J205" s="181">
        <f t="shared" si="89"/>
        <v>4.6416956537266528E-6</v>
      </c>
      <c r="K205" s="413">
        <f t="shared" si="90"/>
        <v>4.6416956537266528E-6</v>
      </c>
    </row>
    <row r="206" spans="1:18" s="136" customFormat="1" x14ac:dyDescent="0.2">
      <c r="A206" s="546"/>
      <c r="B206" s="177" t="s">
        <v>143</v>
      </c>
      <c r="C206" s="128">
        <v>2.0999999999999999E-3</v>
      </c>
      <c r="D206" s="128">
        <v>2.14E-4</v>
      </c>
      <c r="E206" s="543"/>
      <c r="F206" s="128">
        <f t="shared" si="85"/>
        <v>7.6176470588235301E-5</v>
      </c>
      <c r="G206" s="128">
        <f t="shared" si="86"/>
        <v>5.655512303132031E-5</v>
      </c>
      <c r="H206" s="128">
        <f t="shared" si="88"/>
        <v>7.6176470588235301E-5</v>
      </c>
      <c r="I206" s="181">
        <f t="shared" si="87"/>
        <v>7.6176470588235301E-5</v>
      </c>
      <c r="J206" s="181">
        <f t="shared" si="89"/>
        <v>3.3365294117647062E-4</v>
      </c>
      <c r="K206" s="413">
        <f t="shared" si="90"/>
        <v>3.3365294117647062E-4</v>
      </c>
    </row>
    <row r="207" spans="1:18" s="136" customFormat="1" x14ac:dyDescent="0.2">
      <c r="A207" s="546"/>
      <c r="B207" s="179" t="s">
        <v>144</v>
      </c>
      <c r="C207" s="128">
        <v>1.1999999999999999E-6</v>
      </c>
      <c r="D207" s="128"/>
      <c r="E207" s="543"/>
      <c r="F207" s="128">
        <f t="shared" si="85"/>
        <v>4.3529411764705885E-8</v>
      </c>
      <c r="G207" s="128"/>
      <c r="H207" s="128">
        <f t="shared" si="88"/>
        <v>4.3529411764705885E-8</v>
      </c>
      <c r="I207" s="181">
        <f t="shared" si="87"/>
        <v>4.3529411764705885E-8</v>
      </c>
      <c r="J207" s="181">
        <f t="shared" si="89"/>
        <v>1.9065882352941177E-7</v>
      </c>
      <c r="K207" s="413">
        <f t="shared" si="90"/>
        <v>1.9065882352941177E-7</v>
      </c>
    </row>
    <row r="208" spans="1:18" s="136" customFormat="1" x14ac:dyDescent="0.2">
      <c r="A208" s="546"/>
      <c r="B208" s="177" t="s">
        <v>145</v>
      </c>
      <c r="C208" s="128">
        <v>1.7999999999999999E-6</v>
      </c>
      <c r="D208" s="128">
        <v>1.48E-6</v>
      </c>
      <c r="E208" s="543"/>
      <c r="F208" s="128">
        <f t="shared" si="85"/>
        <v>6.5294117647058821E-8</v>
      </c>
      <c r="G208" s="128">
        <f t="shared" si="86"/>
        <v>3.9112888825399095E-7</v>
      </c>
      <c r="H208" s="128">
        <f t="shared" si="88"/>
        <v>6.5294117647058821E-8</v>
      </c>
      <c r="I208" s="181">
        <f t="shared" si="87"/>
        <v>3.9112888825399095E-7</v>
      </c>
      <c r="J208" s="181">
        <f t="shared" si="89"/>
        <v>1.7131445305524803E-6</v>
      </c>
      <c r="K208" s="413">
        <f t="shared" si="90"/>
        <v>1.7131445305524803E-6</v>
      </c>
    </row>
    <row r="209" spans="1:18" s="136" customFormat="1" x14ac:dyDescent="0.2">
      <c r="A209" s="546"/>
      <c r="B209" s="177" t="s">
        <v>146</v>
      </c>
      <c r="C209" s="128">
        <v>1.1999999999999999E-6</v>
      </c>
      <c r="D209" s="128">
        <v>2.26E-6</v>
      </c>
      <c r="E209" s="543"/>
      <c r="F209" s="128">
        <f t="shared" si="85"/>
        <v>4.3529411764705885E-8</v>
      </c>
      <c r="G209" s="128">
        <f t="shared" si="86"/>
        <v>5.9726438341487807E-7</v>
      </c>
      <c r="H209" s="128">
        <f t="shared" si="88"/>
        <v>4.3529411764705885E-8</v>
      </c>
      <c r="I209" s="181">
        <f t="shared" si="87"/>
        <v>5.9726438341487807E-7</v>
      </c>
      <c r="J209" s="181">
        <f t="shared" si="89"/>
        <v>2.616017999357166E-6</v>
      </c>
      <c r="K209" s="413">
        <f t="shared" si="90"/>
        <v>2.616017999357166E-6</v>
      </c>
    </row>
    <row r="210" spans="1:18" s="136" customFormat="1" x14ac:dyDescent="0.2">
      <c r="A210" s="546"/>
      <c r="B210" s="177" t="s">
        <v>147</v>
      </c>
      <c r="C210" s="128">
        <v>1.7999999999999999E-6</v>
      </c>
      <c r="D210" s="128">
        <v>1.48E-6</v>
      </c>
      <c r="E210" s="543"/>
      <c r="F210" s="128">
        <f t="shared" si="85"/>
        <v>6.5294117647058821E-8</v>
      </c>
      <c r="G210" s="128">
        <f t="shared" si="86"/>
        <v>3.9112888825399095E-7</v>
      </c>
      <c r="H210" s="128">
        <f t="shared" si="88"/>
        <v>6.5294117647058821E-8</v>
      </c>
      <c r="I210" s="181">
        <f t="shared" si="87"/>
        <v>3.9112888825399095E-7</v>
      </c>
      <c r="J210" s="181">
        <f t="shared" si="89"/>
        <v>1.7131445305524803E-6</v>
      </c>
      <c r="K210" s="413">
        <f t="shared" si="90"/>
        <v>1.7131445305524803E-6</v>
      </c>
    </row>
    <row r="211" spans="1:18" s="136" customFormat="1" x14ac:dyDescent="0.2">
      <c r="A211" s="546"/>
      <c r="B211" s="177" t="s">
        <v>148</v>
      </c>
      <c r="C211" s="128">
        <v>1.7999999999999999E-6</v>
      </c>
      <c r="D211" s="128">
        <v>2.3800000000000001E-6</v>
      </c>
      <c r="E211" s="543"/>
      <c r="F211" s="128">
        <f t="shared" si="85"/>
        <v>6.5294117647058821E-8</v>
      </c>
      <c r="G211" s="128">
        <f t="shared" si="86"/>
        <v>6.2897753651655306E-7</v>
      </c>
      <c r="H211" s="128">
        <f t="shared" si="88"/>
        <v>6.5294117647058821E-8</v>
      </c>
      <c r="I211" s="181">
        <f t="shared" si="87"/>
        <v>6.2897753651655306E-7</v>
      </c>
      <c r="J211" s="181">
        <f t="shared" si="89"/>
        <v>2.7549216099425025E-6</v>
      </c>
      <c r="K211" s="413">
        <f t="shared" si="90"/>
        <v>2.7549216099425025E-6</v>
      </c>
    </row>
    <row r="212" spans="1:18" s="136" customFormat="1" x14ac:dyDescent="0.2">
      <c r="A212" s="546"/>
      <c r="B212" s="177" t="s">
        <v>149</v>
      </c>
      <c r="C212" s="128">
        <v>1.1999999999999999E-3</v>
      </c>
      <c r="D212" s="128">
        <v>1.6700000000000001E-6</v>
      </c>
      <c r="E212" s="543"/>
      <c r="F212" s="128">
        <f t="shared" si="85"/>
        <v>4.3529411764705885E-5</v>
      </c>
      <c r="G212" s="128">
        <f t="shared" si="86"/>
        <v>4.4134138066497633E-7</v>
      </c>
      <c r="H212" s="128">
        <f t="shared" si="88"/>
        <v>4.3529411764705885E-5</v>
      </c>
      <c r="I212" s="181">
        <f t="shared" si="87"/>
        <v>4.3529411764705885E-5</v>
      </c>
      <c r="J212" s="181">
        <f t="shared" si="89"/>
        <v>1.9065882352941178E-4</v>
      </c>
      <c r="K212" s="413">
        <f t="shared" si="90"/>
        <v>1.9065882352941178E-4</v>
      </c>
    </row>
    <row r="213" spans="1:18" s="136" customFormat="1" x14ac:dyDescent="0.2">
      <c r="A213" s="546"/>
      <c r="B213" s="177" t="s">
        <v>150</v>
      </c>
      <c r="C213" s="128">
        <v>1.1999999999999999E-3</v>
      </c>
      <c r="D213" s="128"/>
      <c r="E213" s="543"/>
      <c r="F213" s="128">
        <f t="shared" si="85"/>
        <v>4.3529411764705885E-5</v>
      </c>
      <c r="G213" s="128"/>
      <c r="H213" s="128">
        <f t="shared" si="88"/>
        <v>4.3529411764705885E-5</v>
      </c>
      <c r="I213" s="181">
        <f t="shared" si="87"/>
        <v>4.3529411764705885E-5</v>
      </c>
      <c r="J213" s="181">
        <f t="shared" si="89"/>
        <v>1.9065882352941178E-4</v>
      </c>
      <c r="K213" s="413">
        <f t="shared" si="90"/>
        <v>1.9065882352941178E-4</v>
      </c>
    </row>
    <row r="214" spans="1:18" s="136" customFormat="1" x14ac:dyDescent="0.2">
      <c r="A214" s="546"/>
      <c r="B214" s="177" t="s">
        <v>242</v>
      </c>
      <c r="C214" s="128">
        <v>1.5999999999999999E-5</v>
      </c>
      <c r="D214" s="128"/>
      <c r="E214" s="543"/>
      <c r="F214" s="128">
        <f t="shared" si="85"/>
        <v>5.803921568627451E-7</v>
      </c>
      <c r="G214" s="128"/>
      <c r="H214" s="128">
        <f t="shared" si="88"/>
        <v>5.803921568627451E-7</v>
      </c>
      <c r="I214" s="181">
        <f>MAX(F214:G214)</f>
        <v>5.803921568627451E-7</v>
      </c>
      <c r="J214" s="181">
        <f t="shared" si="89"/>
        <v>2.5421176470588234E-6</v>
      </c>
      <c r="K214" s="413">
        <f t="shared" si="90"/>
        <v>2.5421176470588234E-6</v>
      </c>
    </row>
    <row r="215" spans="1:18" s="136" customFormat="1" x14ac:dyDescent="0.2">
      <c r="A215" s="546"/>
      <c r="B215" s="177" t="s">
        <v>151</v>
      </c>
      <c r="C215" s="128"/>
      <c r="D215" s="128">
        <v>6.3600000000000001E-5</v>
      </c>
      <c r="E215" s="543"/>
      <c r="F215" s="128"/>
      <c r="G215" s="128">
        <f t="shared" si="86"/>
        <v>1.6807971143887719E-5</v>
      </c>
      <c r="H215" s="128"/>
      <c r="I215" s="181">
        <f t="shared" si="87"/>
        <v>1.6807971143887719E-5</v>
      </c>
      <c r="J215" s="181">
        <f t="shared" si="89"/>
        <v>7.3618913610228214E-5</v>
      </c>
      <c r="K215" s="413">
        <f t="shared" si="90"/>
        <v>7.3618913610228214E-5</v>
      </c>
    </row>
    <row r="216" spans="1:18" s="136" customFormat="1" x14ac:dyDescent="0.2">
      <c r="A216" s="546"/>
      <c r="B216" s="177" t="s">
        <v>152</v>
      </c>
      <c r="C216" s="128">
        <v>3.0000000000000001E-6</v>
      </c>
      <c r="D216" s="128">
        <v>4.8400000000000002E-6</v>
      </c>
      <c r="E216" s="543"/>
      <c r="F216" s="128">
        <f t="shared" ref="F216:F224" si="91">C216*$B$200</f>
        <v>1.0882352941176472E-7</v>
      </c>
      <c r="G216" s="128">
        <f t="shared" si="86"/>
        <v>1.2790971751008894E-6</v>
      </c>
      <c r="H216" s="128">
        <f t="shared" si="88"/>
        <v>1.0882352941176472E-7</v>
      </c>
      <c r="I216" s="181">
        <f t="shared" si="87"/>
        <v>1.2790971751008894E-6</v>
      </c>
      <c r="J216" s="181">
        <f t="shared" si="89"/>
        <v>5.6024456269418965E-6</v>
      </c>
      <c r="K216" s="413">
        <f t="shared" si="90"/>
        <v>5.6024456269418965E-6</v>
      </c>
    </row>
    <row r="217" spans="1:18" s="136" customFormat="1" x14ac:dyDescent="0.2">
      <c r="A217" s="546"/>
      <c r="B217" s="177" t="s">
        <v>153</v>
      </c>
      <c r="C217" s="128">
        <v>2.7999999999999999E-6</v>
      </c>
      <c r="D217" s="128">
        <v>4.4700000000000004E-6</v>
      </c>
      <c r="E217" s="543"/>
      <c r="F217" s="128">
        <f t="shared" si="91"/>
        <v>1.0156862745098039E-7</v>
      </c>
      <c r="G217" s="128">
        <f t="shared" si="86"/>
        <v>1.1813149530373918E-6</v>
      </c>
      <c r="H217" s="128">
        <f t="shared" si="88"/>
        <v>1.0156862745098039E-7</v>
      </c>
      <c r="I217" s="181">
        <f t="shared" si="87"/>
        <v>1.1813149530373918E-6</v>
      </c>
      <c r="J217" s="181">
        <f t="shared" si="89"/>
        <v>5.1741594943037758E-6</v>
      </c>
      <c r="K217" s="413">
        <f t="shared" si="90"/>
        <v>5.1741594943037758E-6</v>
      </c>
    </row>
    <row r="218" spans="1:18" s="136" customFormat="1" x14ac:dyDescent="0.2">
      <c r="A218" s="546"/>
      <c r="B218" s="177" t="s">
        <v>154</v>
      </c>
      <c r="C218" s="128">
        <v>7.4999999999999997E-2</v>
      </c>
      <c r="D218" s="128">
        <v>3.3000000000000002E-2</v>
      </c>
      <c r="E218" s="543"/>
      <c r="F218" s="128">
        <f t="shared" si="91"/>
        <v>2.7205882352941179E-3</v>
      </c>
      <c r="G218" s="128">
        <f t="shared" si="86"/>
        <v>8.7211171029606092E-3</v>
      </c>
      <c r="H218" s="128">
        <f t="shared" si="88"/>
        <v>2.7205882352941179E-3</v>
      </c>
      <c r="I218" s="181">
        <f t="shared" si="87"/>
        <v>8.7211171029606092E-3</v>
      </c>
      <c r="J218" s="181">
        <f t="shared" si="89"/>
        <v>3.8198492910967469E-2</v>
      </c>
      <c r="K218" s="413">
        <f t="shared" si="90"/>
        <v>3.8198492910967469E-2</v>
      </c>
      <c r="R218" s="168"/>
    </row>
    <row r="219" spans="1:18" s="136" customFormat="1" x14ac:dyDescent="0.2">
      <c r="A219" s="546"/>
      <c r="B219" s="177" t="s">
        <v>155</v>
      </c>
      <c r="C219" s="128">
        <v>1.8</v>
      </c>
      <c r="D219" s="128"/>
      <c r="E219" s="543"/>
      <c r="F219" s="128">
        <f t="shared" si="91"/>
        <v>6.5294117647058836E-2</v>
      </c>
      <c r="G219" s="128"/>
      <c r="H219" s="128">
        <f t="shared" si="88"/>
        <v>6.5294117647058836E-2</v>
      </c>
      <c r="I219" s="181">
        <f t="shared" si="87"/>
        <v>6.5294117647058836E-2</v>
      </c>
      <c r="J219" s="181">
        <f t="shared" si="89"/>
        <v>0.28598823529411771</v>
      </c>
      <c r="K219" s="414">
        <f t="shared" si="90"/>
        <v>0.28598823529411771</v>
      </c>
    </row>
    <row r="220" spans="1:18" s="136" customFormat="1" x14ac:dyDescent="0.2">
      <c r="A220" s="546"/>
      <c r="B220" s="177" t="s">
        <v>156</v>
      </c>
      <c r="C220" s="128">
        <v>1.7999999999999999E-6</v>
      </c>
      <c r="D220" s="128">
        <v>2.1399999999999998E-6</v>
      </c>
      <c r="E220" s="543"/>
      <c r="F220" s="128">
        <f t="shared" si="91"/>
        <v>6.5294117647058821E-8</v>
      </c>
      <c r="G220" s="128">
        <f t="shared" si="86"/>
        <v>5.6555123031320308E-7</v>
      </c>
      <c r="H220" s="128">
        <f t="shared" si="88"/>
        <v>6.5294117647058821E-8</v>
      </c>
      <c r="I220" s="181">
        <f t="shared" si="87"/>
        <v>5.6555123031320308E-7</v>
      </c>
      <c r="J220" s="181">
        <f t="shared" si="89"/>
        <v>2.4771143887718292E-6</v>
      </c>
      <c r="K220" s="414">
        <f t="shared" si="90"/>
        <v>2.4771143887718292E-6</v>
      </c>
    </row>
    <row r="221" spans="1:18" s="136" customFormat="1" x14ac:dyDescent="0.2">
      <c r="A221" s="546"/>
      <c r="B221" s="177" t="s">
        <v>244</v>
      </c>
      <c r="C221" s="128">
        <v>2.4000000000000001E-5</v>
      </c>
      <c r="D221" s="128"/>
      <c r="E221" s="543"/>
      <c r="F221" s="128">
        <f t="shared" si="91"/>
        <v>8.7058823529411776E-7</v>
      </c>
      <c r="G221" s="128">
        <f t="shared" si="86"/>
        <v>0</v>
      </c>
      <c r="H221" s="128">
        <f t="shared" si="88"/>
        <v>8.7058823529411776E-7</v>
      </c>
      <c r="I221" s="181">
        <f t="shared" si="87"/>
        <v>8.7058823529411776E-7</v>
      </c>
      <c r="J221" s="181">
        <f t="shared" si="89"/>
        <v>3.8131764705882358E-6</v>
      </c>
      <c r="K221" s="414">
        <f t="shared" si="90"/>
        <v>3.8131764705882358E-6</v>
      </c>
    </row>
    <row r="222" spans="1:18" s="136" customFormat="1" x14ac:dyDescent="0.2">
      <c r="A222" s="546"/>
      <c r="B222" s="177" t="s">
        <v>245</v>
      </c>
      <c r="C222" s="128">
        <v>1.7999999999999999E-6</v>
      </c>
      <c r="D222" s="128"/>
      <c r="E222" s="543"/>
      <c r="F222" s="128">
        <f t="shared" si="91"/>
        <v>6.5294117647058821E-8</v>
      </c>
      <c r="G222" s="128"/>
      <c r="H222" s="128">
        <f t="shared" si="88"/>
        <v>6.5294117647058821E-8</v>
      </c>
      <c r="I222" s="181">
        <f t="shared" si="87"/>
        <v>6.5294117647058821E-8</v>
      </c>
      <c r="J222" s="181">
        <f t="shared" si="89"/>
        <v>2.8598823529411762E-7</v>
      </c>
      <c r="K222" s="414">
        <f t="shared" si="90"/>
        <v>2.8598823529411762E-7</v>
      </c>
    </row>
    <row r="223" spans="1:18" s="136" customFormat="1" x14ac:dyDescent="0.2">
      <c r="A223" s="546"/>
      <c r="B223" s="177" t="s">
        <v>157</v>
      </c>
      <c r="C223" s="128">
        <v>6.0999999999999997E-4</v>
      </c>
      <c r="D223" s="128">
        <v>1.1299999999999999E-3</v>
      </c>
      <c r="E223" s="543"/>
      <c r="F223" s="128">
        <f t="shared" si="91"/>
        <v>2.2127450980392157E-5</v>
      </c>
      <c r="G223" s="128">
        <f t="shared" si="86"/>
        <v>2.98632191707439E-4</v>
      </c>
      <c r="H223" s="128">
        <f t="shared" si="88"/>
        <v>2.2127450980392157E-5</v>
      </c>
      <c r="I223" s="181">
        <f t="shared" si="87"/>
        <v>2.98632191707439E-4</v>
      </c>
      <c r="J223" s="181">
        <f t="shared" si="89"/>
        <v>1.3080089996785828E-3</v>
      </c>
      <c r="K223" s="414">
        <f t="shared" si="90"/>
        <v>1.3080089996785828E-3</v>
      </c>
    </row>
    <row r="224" spans="1:18" s="136" customFormat="1" x14ac:dyDescent="0.2">
      <c r="A224" s="546"/>
      <c r="B224" s="177" t="s">
        <v>158</v>
      </c>
      <c r="C224" s="128">
        <v>1.7E-5</v>
      </c>
      <c r="D224" s="128">
        <v>1.0499999999999999E-5</v>
      </c>
      <c r="E224" s="543"/>
      <c r="F224" s="128">
        <f t="shared" si="91"/>
        <v>6.1666666666666676E-7</v>
      </c>
      <c r="G224" s="128">
        <f t="shared" si="86"/>
        <v>2.7749008963965573E-6</v>
      </c>
      <c r="H224" s="128">
        <f t="shared" si="88"/>
        <v>6.1666666666666676E-7</v>
      </c>
      <c r="I224" s="181">
        <f t="shared" si="87"/>
        <v>2.7749008963965573E-6</v>
      </c>
      <c r="J224" s="181">
        <f t="shared" si="89"/>
        <v>1.2154065926216921E-5</v>
      </c>
      <c r="K224" s="414">
        <f t="shared" si="90"/>
        <v>1.2154065926216921E-5</v>
      </c>
    </row>
    <row r="225" spans="1:18" s="136" customFormat="1" x14ac:dyDescent="0.2">
      <c r="A225" s="546"/>
      <c r="B225" s="177" t="s">
        <v>284</v>
      </c>
      <c r="C225" s="128"/>
      <c r="D225" s="128"/>
      <c r="E225" s="543"/>
      <c r="F225" s="128"/>
      <c r="G225" s="128"/>
      <c r="H225" s="128"/>
      <c r="I225" s="181">
        <f t="shared" ref="I225" si="92">MAX(F225:G225)</f>
        <v>0</v>
      </c>
      <c r="J225" s="181">
        <f t="shared" ref="J225" si="93">I225*8760/2000</f>
        <v>0</v>
      </c>
      <c r="K225" s="414">
        <f t="shared" ref="K225" si="94">I225*8760/2000</f>
        <v>0</v>
      </c>
    </row>
    <row r="226" spans="1:18" s="136" customFormat="1" x14ac:dyDescent="0.2">
      <c r="A226" s="546"/>
      <c r="B226" s="177" t="s">
        <v>159</v>
      </c>
      <c r="C226" s="128">
        <v>5.0000000000000004E-6</v>
      </c>
      <c r="D226" s="128">
        <v>4.25E-6</v>
      </c>
      <c r="E226" s="543"/>
      <c r="F226" s="128">
        <f>C226*$B$200</f>
        <v>1.8137254901960788E-7</v>
      </c>
      <c r="G226" s="128">
        <f t="shared" si="86"/>
        <v>1.1231741723509876E-6</v>
      </c>
      <c r="H226" s="128">
        <f t="shared" si="88"/>
        <v>1.8137254901960788E-7</v>
      </c>
      <c r="I226" s="181">
        <f t="shared" si="87"/>
        <v>1.1231741723509876E-6</v>
      </c>
      <c r="J226" s="181">
        <f t="shared" ref="J226:J239" si="95">I226*8760/2000</f>
        <v>4.9195028748973257E-6</v>
      </c>
      <c r="K226" s="414">
        <f t="shared" ref="K226:K239" si="96">I226*8760/2000</f>
        <v>4.9195028748973257E-6</v>
      </c>
    </row>
    <row r="227" spans="1:18" s="136" customFormat="1" x14ac:dyDescent="0.2">
      <c r="A227" s="546"/>
      <c r="B227" s="177" t="s">
        <v>160</v>
      </c>
      <c r="C227" s="128">
        <v>3.3999999999999998E-3</v>
      </c>
      <c r="D227" s="128">
        <v>6.1999999999999998E-3</v>
      </c>
      <c r="E227" s="543"/>
      <c r="F227" s="128">
        <f>C227*$B$200</f>
        <v>1.2333333333333334E-4</v>
      </c>
      <c r="G227" s="128">
        <f t="shared" si="86"/>
        <v>1.6385129102532052E-3</v>
      </c>
      <c r="H227" s="128">
        <f t="shared" si="88"/>
        <v>1.2333333333333334E-4</v>
      </c>
      <c r="I227" s="181">
        <f t="shared" si="87"/>
        <v>1.6385129102532052E-3</v>
      </c>
      <c r="J227" s="181">
        <f t="shared" si="95"/>
        <v>7.1766865469090387E-3</v>
      </c>
      <c r="K227" s="414">
        <f t="shared" si="96"/>
        <v>7.1766865469090387E-3</v>
      </c>
    </row>
    <row r="228" spans="1:18" s="136" customFormat="1" x14ac:dyDescent="0.2">
      <c r="A228" s="546"/>
      <c r="B228" s="177" t="s">
        <v>282</v>
      </c>
      <c r="C228" s="128"/>
      <c r="D228" s="128">
        <v>2.3599999999999999E-4</v>
      </c>
      <c r="E228" s="543"/>
      <c r="F228" s="128"/>
      <c r="G228" s="128">
        <f t="shared" si="86"/>
        <v>6.2369201099960711E-5</v>
      </c>
      <c r="H228" s="128"/>
      <c r="I228" s="181">
        <f t="shared" si="87"/>
        <v>6.2369201099960711E-5</v>
      </c>
      <c r="J228" s="181">
        <f t="shared" si="95"/>
        <v>2.7317710081782793E-4</v>
      </c>
      <c r="K228" s="414">
        <f t="shared" si="96"/>
        <v>2.7317710081782793E-4</v>
      </c>
    </row>
    <row r="229" spans="1:18" s="136" customFormat="1" x14ac:dyDescent="0.2">
      <c r="A229" s="546"/>
      <c r="B229" s="177" t="s">
        <v>161</v>
      </c>
      <c r="C229" s="128"/>
      <c r="D229" s="128">
        <v>1.0900000000000001E-4</v>
      </c>
      <c r="E229" s="543"/>
      <c r="F229" s="128"/>
      <c r="G229" s="128">
        <f t="shared" si="86"/>
        <v>2.8806114067354742E-5</v>
      </c>
      <c r="H229" s="128"/>
      <c r="I229" s="181">
        <f t="shared" si="87"/>
        <v>2.8806114067354742E-5</v>
      </c>
      <c r="J229" s="181">
        <f t="shared" si="95"/>
        <v>1.2617077961501376E-4</v>
      </c>
      <c r="K229" s="414">
        <f t="shared" si="96"/>
        <v>1.2617077961501376E-4</v>
      </c>
    </row>
    <row r="230" spans="1:18" s="136" customFormat="1" x14ac:dyDescent="0.2">
      <c r="A230" s="546"/>
      <c r="B230" s="177" t="s">
        <v>162</v>
      </c>
      <c r="C230" s="128">
        <v>5.2500000000000003E-3</v>
      </c>
      <c r="D230" s="128"/>
      <c r="E230" s="543"/>
      <c r="F230" s="128">
        <f t="shared" ref="F230:F239" si="97">C230*$B$200</f>
        <v>1.9044117647058827E-4</v>
      </c>
      <c r="G230" s="128"/>
      <c r="H230" s="128">
        <f t="shared" si="88"/>
        <v>1.9044117647058827E-4</v>
      </c>
      <c r="I230" s="181">
        <f t="shared" si="87"/>
        <v>1.9044117647058827E-4</v>
      </c>
      <c r="J230" s="181">
        <f t="shared" si="95"/>
        <v>8.3413235294117663E-4</v>
      </c>
      <c r="K230" s="414">
        <f t="shared" si="96"/>
        <v>8.3413235294117663E-4</v>
      </c>
      <c r="R230" s="168"/>
    </row>
    <row r="231" spans="1:18" s="136" customFormat="1" x14ac:dyDescent="0.2">
      <c r="A231" s="546"/>
      <c r="B231" s="177" t="s">
        <v>163</v>
      </c>
      <c r="C231" s="128">
        <v>2.0000000000000001E-4</v>
      </c>
      <c r="D231" s="128">
        <f>(0.000004)*$H$6/1000</f>
        <v>5.6002E-10</v>
      </c>
      <c r="E231" s="543"/>
      <c r="F231" s="128">
        <f t="shared" si="97"/>
        <v>7.2549019607843145E-6</v>
      </c>
      <c r="G231" s="128">
        <f t="shared" si="86"/>
        <v>1.4800000000000001E-10</v>
      </c>
      <c r="H231" s="128">
        <f t="shared" si="88"/>
        <v>7.2549019607843145E-6</v>
      </c>
      <c r="I231" s="181">
        <f t="shared" si="87"/>
        <v>7.2549019607843145E-6</v>
      </c>
      <c r="J231" s="181">
        <f t="shared" si="95"/>
        <v>3.1776470588235292E-5</v>
      </c>
      <c r="K231" s="414">
        <f t="shared" si="96"/>
        <v>3.1776470588235292E-5</v>
      </c>
      <c r="R231" s="168"/>
    </row>
    <row r="232" spans="1:18" s="136" customFormat="1" x14ac:dyDescent="0.2">
      <c r="A232" s="546"/>
      <c r="B232" s="177" t="s">
        <v>164</v>
      </c>
      <c r="C232" s="128">
        <v>1.2E-5</v>
      </c>
      <c r="D232" s="128">
        <f>(0.000003)*$H$6/1000</f>
        <v>4.2001499999999997E-10</v>
      </c>
      <c r="E232" s="543"/>
      <c r="F232" s="128">
        <f t="shared" si="97"/>
        <v>4.3529411764705888E-7</v>
      </c>
      <c r="G232" s="128">
        <f t="shared" si="86"/>
        <v>1.11E-10</v>
      </c>
      <c r="H232" s="128">
        <f t="shared" si="88"/>
        <v>4.3529411764705888E-7</v>
      </c>
      <c r="I232" s="181">
        <f t="shared" si="87"/>
        <v>4.3529411764705888E-7</v>
      </c>
      <c r="J232" s="181">
        <f t="shared" si="95"/>
        <v>1.9065882352941179E-6</v>
      </c>
      <c r="K232" s="414">
        <f t="shared" si="96"/>
        <v>1.9065882352941179E-6</v>
      </c>
      <c r="R232" s="168"/>
    </row>
    <row r="233" spans="1:18" s="136" customFormat="1" x14ac:dyDescent="0.2">
      <c r="A233" s="546"/>
      <c r="B233" s="177" t="s">
        <v>165</v>
      </c>
      <c r="C233" s="128">
        <v>1.1000000000000001E-3</v>
      </c>
      <c r="D233" s="128">
        <f>(0.000003)*$H$6/1000</f>
        <v>4.2001499999999997E-10</v>
      </c>
      <c r="E233" s="543"/>
      <c r="F233" s="128">
        <f t="shared" si="97"/>
        <v>3.9901960784313731E-5</v>
      </c>
      <c r="G233" s="128">
        <f t="shared" si="86"/>
        <v>1.11E-10</v>
      </c>
      <c r="H233" s="128">
        <f t="shared" si="88"/>
        <v>3.9901960784313731E-5</v>
      </c>
      <c r="I233" s="181">
        <f t="shared" si="87"/>
        <v>3.9901960784313731E-5</v>
      </c>
      <c r="J233" s="181">
        <f t="shared" si="95"/>
        <v>1.7477058823529414E-4</v>
      </c>
      <c r="K233" s="414">
        <f t="shared" si="96"/>
        <v>1.7477058823529414E-4</v>
      </c>
      <c r="R233" s="168"/>
    </row>
    <row r="234" spans="1:18" s="136" customFormat="1" x14ac:dyDescent="0.2">
      <c r="A234" s="546"/>
      <c r="B234" s="177" t="s">
        <v>166</v>
      </c>
      <c r="C234" s="128">
        <v>1.4E-3</v>
      </c>
      <c r="D234" s="128">
        <f>(0.000003)*$H$6/1000</f>
        <v>4.2001499999999997E-10</v>
      </c>
      <c r="E234" s="543"/>
      <c r="F234" s="128">
        <f t="shared" si="97"/>
        <v>5.0784313725490201E-5</v>
      </c>
      <c r="G234" s="128">
        <f t="shared" si="86"/>
        <v>1.11E-10</v>
      </c>
      <c r="H234" s="128">
        <f t="shared" si="88"/>
        <v>5.0784313725490201E-5</v>
      </c>
      <c r="I234" s="181">
        <f>MAX(F234:G234)</f>
        <v>5.0784313725490201E-5</v>
      </c>
      <c r="J234" s="181">
        <f t="shared" si="95"/>
        <v>2.2243529411764709E-4</v>
      </c>
      <c r="K234" s="414">
        <f t="shared" si="96"/>
        <v>2.2243529411764709E-4</v>
      </c>
      <c r="R234" s="168"/>
    </row>
    <row r="235" spans="1:18" s="136" customFormat="1" x14ac:dyDescent="0.2">
      <c r="A235" s="546"/>
      <c r="B235" s="177" t="s">
        <v>167</v>
      </c>
      <c r="C235" s="128">
        <v>8.3999999999999995E-5</v>
      </c>
      <c r="D235" s="128"/>
      <c r="E235" s="543"/>
      <c r="F235" s="128">
        <f t="shared" si="97"/>
        <v>3.0470588235294119E-6</v>
      </c>
      <c r="G235" s="128"/>
      <c r="H235" s="128">
        <f t="shared" si="88"/>
        <v>3.0470588235294119E-6</v>
      </c>
      <c r="I235" s="181">
        <f t="shared" si="87"/>
        <v>3.0470588235294119E-6</v>
      </c>
      <c r="J235" s="181">
        <f t="shared" si="95"/>
        <v>1.3346117647058825E-5</v>
      </c>
      <c r="K235" s="414">
        <f t="shared" si="96"/>
        <v>1.3346117647058825E-5</v>
      </c>
      <c r="R235" s="168"/>
    </row>
    <row r="236" spans="1:18" s="136" customFormat="1" x14ac:dyDescent="0.2">
      <c r="A236" s="546"/>
      <c r="B236" s="177" t="s">
        <v>168</v>
      </c>
      <c r="C236" s="128">
        <v>3.8000000000000002E-4</v>
      </c>
      <c r="D236" s="128">
        <f>(0.000006)*$H$6/1000</f>
        <v>8.4002999999999994E-10</v>
      </c>
      <c r="E236" s="543"/>
      <c r="F236" s="128">
        <f t="shared" si="97"/>
        <v>1.3784313725490197E-5</v>
      </c>
      <c r="G236" s="128">
        <f t="shared" si="86"/>
        <v>2.2200000000000001E-10</v>
      </c>
      <c r="H236" s="128">
        <f t="shared" si="88"/>
        <v>1.3784313725490197E-5</v>
      </c>
      <c r="I236" s="181">
        <f t="shared" si="87"/>
        <v>1.3784313725490197E-5</v>
      </c>
      <c r="J236" s="181">
        <f t="shared" si="95"/>
        <v>6.0375294117647064E-5</v>
      </c>
      <c r="K236" s="414">
        <f t="shared" si="96"/>
        <v>6.0375294117647064E-5</v>
      </c>
      <c r="M236" s="130"/>
      <c r="R236" s="168"/>
    </row>
    <row r="237" spans="1:18" s="136" customFormat="1" x14ac:dyDescent="0.2">
      <c r="A237" s="546"/>
      <c r="B237" s="177" t="s">
        <v>169</v>
      </c>
      <c r="C237" s="131">
        <v>2.5999999999999998E-4</v>
      </c>
      <c r="D237" s="128">
        <f>(0.000003)*$H$6/1000</f>
        <v>4.2001499999999997E-10</v>
      </c>
      <c r="E237" s="543"/>
      <c r="F237" s="128">
        <f t="shared" si="97"/>
        <v>9.4313725490196083E-6</v>
      </c>
      <c r="G237" s="128">
        <f t="shared" si="86"/>
        <v>1.11E-10</v>
      </c>
      <c r="H237" s="128">
        <f t="shared" si="88"/>
        <v>9.4313725490196083E-6</v>
      </c>
      <c r="I237" s="185">
        <f t="shared" si="87"/>
        <v>9.4313725490196083E-6</v>
      </c>
      <c r="J237" s="185">
        <f t="shared" si="95"/>
        <v>4.1309411764705883E-5</v>
      </c>
      <c r="K237" s="414">
        <f t="shared" si="96"/>
        <v>4.1309411764705883E-5</v>
      </c>
      <c r="L237" s="130"/>
      <c r="M237" s="169"/>
      <c r="N237" s="170"/>
      <c r="O237" s="130"/>
      <c r="P237" s="130"/>
      <c r="Q237" s="130"/>
      <c r="R237" s="170"/>
    </row>
    <row r="238" spans="1:18" s="136" customFormat="1" x14ac:dyDescent="0.2">
      <c r="A238" s="546"/>
      <c r="B238" s="177" t="s">
        <v>170</v>
      </c>
      <c r="C238" s="128">
        <v>2.0999999999999999E-3</v>
      </c>
      <c r="D238" s="128">
        <f>(0.000003)*$H$6/1000</f>
        <v>4.2001499999999997E-10</v>
      </c>
      <c r="E238" s="543"/>
      <c r="F238" s="128">
        <f t="shared" si="97"/>
        <v>7.6176470588235301E-5</v>
      </c>
      <c r="G238" s="128">
        <f t="shared" si="86"/>
        <v>1.11E-10</v>
      </c>
      <c r="H238" s="128">
        <f t="shared" si="88"/>
        <v>7.6176470588235301E-5</v>
      </c>
      <c r="I238" s="181">
        <f t="shared" si="87"/>
        <v>7.6176470588235301E-5</v>
      </c>
      <c r="J238" s="181">
        <f t="shared" si="95"/>
        <v>3.3365294117647062E-4</v>
      </c>
      <c r="K238" s="414">
        <f t="shared" si="96"/>
        <v>3.3365294117647062E-4</v>
      </c>
      <c r="P238" s="130"/>
      <c r="Q238" s="130"/>
      <c r="R238" s="175"/>
    </row>
    <row r="239" spans="1:18" s="136" customFormat="1" x14ac:dyDescent="0.2">
      <c r="A239" s="546"/>
      <c r="B239" s="177" t="s">
        <v>171</v>
      </c>
      <c r="C239" s="128">
        <v>2.4000000000000001E-5</v>
      </c>
      <c r="D239" s="128">
        <f>(0.000015)*$H$6/1000</f>
        <v>2.1000750000000001E-9</v>
      </c>
      <c r="E239" s="543"/>
      <c r="F239" s="128">
        <f t="shared" si="97"/>
        <v>8.7058823529411776E-7</v>
      </c>
      <c r="G239" s="128">
        <f t="shared" si="86"/>
        <v>5.5500000000000005E-10</v>
      </c>
      <c r="H239" s="128">
        <f t="shared" si="88"/>
        <v>8.7058823529411776E-7</v>
      </c>
      <c r="I239" s="181">
        <f t="shared" si="87"/>
        <v>8.7058823529411776E-7</v>
      </c>
      <c r="J239" s="181">
        <f t="shared" si="95"/>
        <v>3.8131764705882358E-6</v>
      </c>
      <c r="K239" s="414">
        <f t="shared" si="96"/>
        <v>3.8131764705882358E-6</v>
      </c>
      <c r="R239" s="175"/>
    </row>
    <row r="240" spans="1:18" s="136" customFormat="1" x14ac:dyDescent="0.2">
      <c r="A240" s="546"/>
      <c r="B240" s="178" t="s">
        <v>172</v>
      </c>
      <c r="C240" s="128"/>
      <c r="D240" s="128"/>
      <c r="E240" s="543"/>
      <c r="F240" s="118">
        <f>SUM(F202:F239)</f>
        <v>6.8718685294117648E-2</v>
      </c>
      <c r="G240" s="118">
        <f>SUM(G202:G239)</f>
        <v>1.0839201230008933E-2</v>
      </c>
      <c r="H240" s="118">
        <f>SUM(H202:H239)</f>
        <v>6.8718685294117648E-2</v>
      </c>
      <c r="I240" s="180">
        <f>MAX(E240:H240)</f>
        <v>6.8718685294117648E-2</v>
      </c>
      <c r="J240" s="180">
        <f>I240*8760/2000</f>
        <v>0.30098784158823533</v>
      </c>
      <c r="K240" s="415">
        <f>I240*8760/2000</f>
        <v>0.30098784158823533</v>
      </c>
      <c r="M240" s="168"/>
      <c r="R240" s="163"/>
    </row>
    <row r="241" spans="1:18" s="136" customFormat="1" x14ac:dyDescent="0.2">
      <c r="A241" s="546"/>
      <c r="B241" s="178" t="s">
        <v>173</v>
      </c>
      <c r="C241" s="128">
        <v>5.0000000000000001E-4</v>
      </c>
      <c r="D241" s="128">
        <f>(0.000009)*$H$6/1000</f>
        <v>1.2600450000000001E-9</v>
      </c>
      <c r="E241" s="544"/>
      <c r="F241" s="128">
        <f>C241*$B$200</f>
        <v>1.8137254901960785E-5</v>
      </c>
      <c r="G241" s="128">
        <f t="shared" ref="G241:G251" si="98">D241*$B$198</f>
        <v>3.3300000000000004E-10</v>
      </c>
      <c r="H241" s="128">
        <f>F241</f>
        <v>1.8137254901960785E-5</v>
      </c>
      <c r="I241" s="181">
        <f>MAX(F241:H241)</f>
        <v>1.8137254901960785E-5</v>
      </c>
      <c r="J241" s="181">
        <f>MAX(G241:I241)</f>
        <v>1.8137254901960785E-5</v>
      </c>
      <c r="K241" s="416">
        <f t="shared" ref="K241:K247" si="99">I241*8760/2000</f>
        <v>7.9441176470588238E-5</v>
      </c>
      <c r="M241" s="168"/>
      <c r="R241" s="163"/>
    </row>
    <row r="242" spans="1:18" s="136" customFormat="1" x14ac:dyDescent="0.2">
      <c r="A242" s="546"/>
      <c r="B242" s="178" t="s">
        <v>174</v>
      </c>
      <c r="C242" s="128">
        <v>7.6</v>
      </c>
      <c r="D242" s="128">
        <v>2</v>
      </c>
      <c r="E242" s="128">
        <v>0.7</v>
      </c>
      <c r="F242" s="118">
        <f>C242*$B$200</f>
        <v>0.27568627450980393</v>
      </c>
      <c r="G242" s="118">
        <f t="shared" si="98"/>
        <v>0.52855255169458237</v>
      </c>
      <c r="H242" s="118">
        <f>E242*$B$199</f>
        <v>0.28306010928961745</v>
      </c>
      <c r="I242" s="180">
        <f>MAX(F242:H242)</f>
        <v>0.52855255169458237</v>
      </c>
      <c r="J242" s="436">
        <f>I242*8760/2000</f>
        <v>2.3150601764222705</v>
      </c>
      <c r="K242" s="434">
        <f>I242*8760/2000</f>
        <v>2.3150601764222705</v>
      </c>
      <c r="M242" s="168"/>
      <c r="N242" s="168"/>
      <c r="R242" s="163"/>
    </row>
    <row r="243" spans="1:18" s="136" customFormat="1" ht="14.25" x14ac:dyDescent="0.25">
      <c r="A243" s="546"/>
      <c r="B243" s="178" t="s">
        <v>17</v>
      </c>
      <c r="C243" s="128">
        <v>7.6</v>
      </c>
      <c r="D243" s="128">
        <v>1</v>
      </c>
      <c r="E243" s="128">
        <v>0.7</v>
      </c>
      <c r="F243" s="118">
        <f t="shared" ref="F243:F250" si="100">C243*$B$200</f>
        <v>0.27568627450980393</v>
      </c>
      <c r="G243" s="118">
        <f t="shared" si="98"/>
        <v>0.26427627584729119</v>
      </c>
      <c r="H243" s="118">
        <f t="shared" ref="H243:H250" si="101">E243*$B$199</f>
        <v>0.28306010928961745</v>
      </c>
      <c r="I243" s="180">
        <f t="shared" ref="I243:I248" si="102">MAX(F243:H243)</f>
        <v>0.28306010928961745</v>
      </c>
      <c r="J243" s="436">
        <f t="shared" ref="J243:J251" si="103">I243*8760/2000</f>
        <v>1.2398032786885245</v>
      </c>
      <c r="K243" s="434">
        <f t="shared" si="99"/>
        <v>1.2398032786885245</v>
      </c>
      <c r="M243" s="168"/>
      <c r="N243" s="168"/>
      <c r="R243" s="163"/>
    </row>
    <row r="244" spans="1:18" s="136" customFormat="1" ht="14.25" x14ac:dyDescent="0.25">
      <c r="A244" s="546"/>
      <c r="B244" s="178" t="s">
        <v>16</v>
      </c>
      <c r="C244" s="128">
        <v>7.6</v>
      </c>
      <c r="D244" s="128">
        <v>0.25</v>
      </c>
      <c r="E244" s="128">
        <v>0.7</v>
      </c>
      <c r="F244" s="118">
        <f t="shared" si="100"/>
        <v>0.27568627450980393</v>
      </c>
      <c r="G244" s="118">
        <f t="shared" si="98"/>
        <v>6.6069068961822797E-2</v>
      </c>
      <c r="H244" s="118">
        <f t="shared" si="101"/>
        <v>0.28306010928961745</v>
      </c>
      <c r="I244" s="180">
        <f t="shared" si="102"/>
        <v>0.28306010928961745</v>
      </c>
      <c r="J244" s="436">
        <f t="shared" si="103"/>
        <v>1.2398032786885245</v>
      </c>
      <c r="K244" s="434">
        <f t="shared" si="99"/>
        <v>1.2398032786885245</v>
      </c>
      <c r="M244" s="168"/>
      <c r="N244" s="168"/>
      <c r="R244" s="163"/>
    </row>
    <row r="245" spans="1:18" s="136" customFormat="1" ht="14.25" x14ac:dyDescent="0.25">
      <c r="A245" s="546"/>
      <c r="B245" s="178" t="s">
        <v>253</v>
      </c>
      <c r="C245" s="128">
        <v>0.6</v>
      </c>
      <c r="D245" s="128">
        <f>142*L198</f>
        <v>0.21299999999999999</v>
      </c>
      <c r="E245" s="371">
        <f>0.1*L199</f>
        <v>1.5</v>
      </c>
      <c r="F245" s="118">
        <f t="shared" si="100"/>
        <v>2.1764705882352943E-2</v>
      </c>
      <c r="G245" s="118">
        <f t="shared" si="98"/>
        <v>5.6290846755473023E-2</v>
      </c>
      <c r="H245" s="118">
        <f>E245*$B$199</f>
        <v>0.60655737704918034</v>
      </c>
      <c r="I245" s="180">
        <f t="shared" si="102"/>
        <v>0.60655737704918034</v>
      </c>
      <c r="J245" s="436">
        <f t="shared" si="103"/>
        <v>2.65672131147541</v>
      </c>
      <c r="K245" s="434">
        <f t="shared" si="99"/>
        <v>2.65672131147541</v>
      </c>
      <c r="M245" s="168"/>
      <c r="R245" s="163"/>
    </row>
    <row r="246" spans="1:18" s="136" customFormat="1" x14ac:dyDescent="0.2">
      <c r="A246" s="546"/>
      <c r="B246" s="178" t="s">
        <v>178</v>
      </c>
      <c r="C246" s="128">
        <v>50</v>
      </c>
      <c r="D246" s="128">
        <v>20</v>
      </c>
      <c r="E246" s="128">
        <v>13</v>
      </c>
      <c r="F246" s="118">
        <f t="shared" si="100"/>
        <v>1.8137254901960786</v>
      </c>
      <c r="G246" s="118">
        <f t="shared" si="98"/>
        <v>5.2855255169458237</v>
      </c>
      <c r="H246" s="118">
        <f t="shared" si="101"/>
        <v>5.2568306010928962</v>
      </c>
      <c r="I246" s="180">
        <f t="shared" si="102"/>
        <v>5.2855255169458237</v>
      </c>
      <c r="J246" s="436">
        <f t="shared" si="103"/>
        <v>23.15060176422271</v>
      </c>
      <c r="K246" s="434">
        <f t="shared" si="99"/>
        <v>23.15060176422271</v>
      </c>
      <c r="M246" s="168"/>
      <c r="P246" s="130"/>
      <c r="Q246" s="130"/>
      <c r="R246" s="164"/>
    </row>
    <row r="247" spans="1:18" s="136" customFormat="1" x14ac:dyDescent="0.2">
      <c r="A247" s="546"/>
      <c r="B247" s="178" t="s">
        <v>15</v>
      </c>
      <c r="C247" s="128">
        <v>5.5</v>
      </c>
      <c r="D247" s="128">
        <v>0.2</v>
      </c>
      <c r="E247" s="128">
        <f>1-0.2</f>
        <v>0.8</v>
      </c>
      <c r="F247" s="118">
        <f t="shared" si="100"/>
        <v>0.19950980392156864</v>
      </c>
      <c r="G247" s="118">
        <f t="shared" si="98"/>
        <v>5.2855255169458243E-2</v>
      </c>
      <c r="H247" s="118">
        <f t="shared" si="101"/>
        <v>0.32349726775956289</v>
      </c>
      <c r="I247" s="180">
        <f t="shared" si="102"/>
        <v>0.32349726775956289</v>
      </c>
      <c r="J247" s="436">
        <f t="shared" si="103"/>
        <v>1.4169180327868856</v>
      </c>
      <c r="K247" s="434">
        <f t="shared" si="99"/>
        <v>1.4169180327868856</v>
      </c>
      <c r="M247" s="168"/>
      <c r="Q247" s="134"/>
      <c r="R247" s="163"/>
    </row>
    <row r="248" spans="1:18" s="136" customFormat="1" x14ac:dyDescent="0.2">
      <c r="A248" s="546"/>
      <c r="B248" s="178" t="s">
        <v>215</v>
      </c>
      <c r="C248" s="128">
        <v>84</v>
      </c>
      <c r="D248" s="131">
        <v>5</v>
      </c>
      <c r="E248" s="128">
        <v>7.5</v>
      </c>
      <c r="F248" s="118">
        <f t="shared" si="100"/>
        <v>3.047058823529412</v>
      </c>
      <c r="G248" s="118">
        <f t="shared" si="98"/>
        <v>1.3213813792364559</v>
      </c>
      <c r="H248" s="118">
        <f t="shared" si="101"/>
        <v>3.0327868852459017</v>
      </c>
      <c r="I248" s="180">
        <f t="shared" si="102"/>
        <v>3.047058823529412</v>
      </c>
      <c r="J248" s="436">
        <f t="shared" si="103"/>
        <v>13.346117647058826</v>
      </c>
      <c r="K248" s="434">
        <f t="shared" ref="K248:K253" si="104">I248*8760/2000</f>
        <v>13.346117647058826</v>
      </c>
      <c r="M248" s="168"/>
      <c r="Q248" s="134"/>
      <c r="R248" s="176"/>
    </row>
    <row r="249" spans="1:18" s="136" customFormat="1" ht="14.25" x14ac:dyDescent="0.25">
      <c r="A249" s="546"/>
      <c r="B249" s="178" t="s">
        <v>273</v>
      </c>
      <c r="C249" s="128">
        <v>120000</v>
      </c>
      <c r="D249" s="128">
        <v>22300</v>
      </c>
      <c r="E249" s="128">
        <v>12500</v>
      </c>
      <c r="F249" s="368">
        <f>C249*$B$200</f>
        <v>4352.9411764705883</v>
      </c>
      <c r="G249" s="368">
        <f t="shared" si="98"/>
        <v>5893.360951394593</v>
      </c>
      <c r="H249" s="368">
        <f t="shared" si="101"/>
        <v>5054.6448087431691</v>
      </c>
      <c r="I249" s="182">
        <f>MAX(F249:H249)</f>
        <v>5893.360951394593</v>
      </c>
      <c r="J249" s="437">
        <f t="shared" si="103"/>
        <v>25812.920967108315</v>
      </c>
      <c r="K249" s="435">
        <f t="shared" si="104"/>
        <v>25812.920967108315</v>
      </c>
      <c r="L249" s="114"/>
      <c r="M249" s="168"/>
      <c r="R249" s="163"/>
    </row>
    <row r="250" spans="1:18" s="136" customFormat="1" ht="14.25" x14ac:dyDescent="0.25">
      <c r="A250" s="546"/>
      <c r="B250" s="178" t="s">
        <v>274</v>
      </c>
      <c r="C250" s="128">
        <v>2.2999999999999998</v>
      </c>
      <c r="D250" s="128">
        <v>5.1999999999999998E-2</v>
      </c>
      <c r="E250" s="128">
        <v>0.2</v>
      </c>
      <c r="F250" s="118">
        <f t="shared" si="100"/>
        <v>8.3431372549019611E-2</v>
      </c>
      <c r="G250" s="118">
        <f t="shared" si="98"/>
        <v>1.3742366344059141E-2</v>
      </c>
      <c r="H250" s="118">
        <f t="shared" si="101"/>
        <v>8.0874316939890722E-2</v>
      </c>
      <c r="I250" s="183">
        <f>MAX(F250:H250)</f>
        <v>8.3431372549019611E-2</v>
      </c>
      <c r="J250" s="436">
        <f t="shared" si="103"/>
        <v>0.36542941176470589</v>
      </c>
      <c r="K250" s="434">
        <f t="shared" si="104"/>
        <v>0.36542941176470589</v>
      </c>
      <c r="L250" s="114"/>
      <c r="M250" s="168"/>
      <c r="R250" s="163"/>
    </row>
    <row r="251" spans="1:18" s="136" customFormat="1" ht="14.25" x14ac:dyDescent="0.25">
      <c r="A251" s="546"/>
      <c r="B251" s="178" t="s">
        <v>275</v>
      </c>
      <c r="C251" s="128">
        <v>2.2000000000000002</v>
      </c>
      <c r="D251" s="128">
        <v>0.26</v>
      </c>
      <c r="E251" s="128">
        <v>0.9</v>
      </c>
      <c r="F251" s="118">
        <f>C251*$B$200</f>
        <v>7.9803921568627464E-2</v>
      </c>
      <c r="G251" s="118">
        <f t="shared" si="98"/>
        <v>6.8711831720295713E-2</v>
      </c>
      <c r="H251" s="118">
        <f>E251*$B$199</f>
        <v>0.36393442622950822</v>
      </c>
      <c r="I251" s="183">
        <f>MAX(F251:H251)</f>
        <v>0.36393442622950822</v>
      </c>
      <c r="J251" s="436">
        <f t="shared" si="103"/>
        <v>1.594032786885246</v>
      </c>
      <c r="K251" s="434">
        <f t="shared" si="104"/>
        <v>1.594032786885246</v>
      </c>
      <c r="L251" s="114"/>
      <c r="M251" s="168"/>
      <c r="R251" s="163"/>
    </row>
    <row r="252" spans="1:18" s="136" customFormat="1" x14ac:dyDescent="0.2">
      <c r="A252" s="546"/>
      <c r="B252" s="178" t="s">
        <v>184</v>
      </c>
      <c r="C252" s="135"/>
      <c r="D252" s="135"/>
      <c r="E252" s="128"/>
      <c r="F252" s="369">
        <f>SUM(F249:F251)</f>
        <v>4353.1044117647061</v>
      </c>
      <c r="G252" s="369">
        <f t="shared" ref="G252:H252" si="105">SUM(G249:G251)</f>
        <v>5893.4434055926567</v>
      </c>
      <c r="H252" s="368">
        <f t="shared" si="105"/>
        <v>5055.0896174863383</v>
      </c>
      <c r="I252" s="182">
        <f>MAX(F252:H252)</f>
        <v>5893.4434055926567</v>
      </c>
      <c r="J252" s="437">
        <f>I252*8760/2000</f>
        <v>25813.282116495837</v>
      </c>
      <c r="K252" s="435">
        <f>I252*8760/2000</f>
        <v>25813.282116495837</v>
      </c>
      <c r="L252" s="114"/>
      <c r="M252" s="168"/>
      <c r="R252" s="163"/>
    </row>
    <row r="253" spans="1:18" s="136" customFormat="1" ht="15" thickBot="1" x14ac:dyDescent="0.3">
      <c r="A253" s="547"/>
      <c r="B253" s="418" t="s">
        <v>254</v>
      </c>
      <c r="C253" s="132"/>
      <c r="D253" s="132"/>
      <c r="E253" s="419"/>
      <c r="F253" s="420">
        <f>F249+(F250*21)+(F251*310)</f>
        <v>4379.4324509803919</v>
      </c>
      <c r="G253" s="420">
        <f t="shared" ref="G253:H253" si="106">G249+(G250*21)+(G251*310)</f>
        <v>5914.9502089211092</v>
      </c>
      <c r="H253" s="420">
        <f t="shared" si="106"/>
        <v>5169.1628415300547</v>
      </c>
      <c r="I253" s="421">
        <f>MAX(F253:H253)</f>
        <v>5914.9502089211092</v>
      </c>
      <c r="J253" s="438">
        <f>I253*8760/2000</f>
        <v>25907.481915074455</v>
      </c>
      <c r="K253" s="439">
        <f t="shared" si="104"/>
        <v>25907.481915074455</v>
      </c>
      <c r="L253" s="114"/>
      <c r="M253" s="168"/>
      <c r="R253" s="163"/>
    </row>
    <row r="254" spans="1:18" s="136" customFormat="1" ht="27.75" customHeight="1" x14ac:dyDescent="0.2">
      <c r="A254" s="541" t="s">
        <v>321</v>
      </c>
      <c r="B254" s="541"/>
      <c r="C254" s="541"/>
      <c r="D254" s="541"/>
      <c r="E254" s="541"/>
      <c r="F254" s="541"/>
      <c r="G254" s="541"/>
      <c r="H254" s="541"/>
      <c r="I254" s="541"/>
      <c r="J254" s="541"/>
      <c r="K254" s="541"/>
      <c r="L254" s="541"/>
      <c r="M254" s="541"/>
    </row>
    <row r="255" spans="1:18" ht="13.5" thickBot="1" x14ac:dyDescent="0.25">
      <c r="B255" s="11" t="s">
        <v>309</v>
      </c>
      <c r="C255" s="51"/>
      <c r="F255" s="370"/>
      <c r="G255" s="166"/>
      <c r="H255" s="166"/>
      <c r="I255" s="166"/>
      <c r="J255" s="166"/>
      <c r="K255" s="166"/>
    </row>
    <row r="256" spans="1:18" x14ac:dyDescent="0.2">
      <c r="B256" s="475"/>
      <c r="C256" s="476" t="s">
        <v>329</v>
      </c>
      <c r="D256" s="477" t="s">
        <v>330</v>
      </c>
      <c r="F256" s="166"/>
      <c r="G256" s="481"/>
      <c r="H256" s="481"/>
      <c r="I256" s="481"/>
      <c r="J256" s="481"/>
      <c r="K256" s="482"/>
    </row>
    <row r="257" spans="2:11" ht="14.25" x14ac:dyDescent="0.25">
      <c r="B257" s="472" t="s">
        <v>273</v>
      </c>
      <c r="C257" s="473">
        <f>SUM(K58,K122,K186,I249)</f>
        <v>18779.525574862193</v>
      </c>
      <c r="D257" s="474">
        <f t="shared" ref="D257:D259" si="107">C257*8760/2000</f>
        <v>82254.322017896397</v>
      </c>
      <c r="F257" s="165"/>
      <c r="G257" s="483"/>
      <c r="H257" s="404"/>
      <c r="I257" s="404"/>
      <c r="J257" s="404"/>
      <c r="K257" s="404"/>
    </row>
    <row r="258" spans="2:11" ht="14.25" x14ac:dyDescent="0.25">
      <c r="B258" s="463" t="s">
        <v>274</v>
      </c>
      <c r="C258" s="183">
        <f>SUM(K59,K123,K187,I250)</f>
        <v>0.32470588235294118</v>
      </c>
      <c r="D258" s="467">
        <f>C258*8760/2000</f>
        <v>1.4222117647058823</v>
      </c>
      <c r="F258" s="165"/>
      <c r="G258" s="483"/>
      <c r="H258" s="483"/>
      <c r="I258" s="483"/>
      <c r="J258" s="483"/>
      <c r="K258" s="483"/>
    </row>
    <row r="259" spans="2:11" ht="14.25" x14ac:dyDescent="0.25">
      <c r="B259" s="463" t="s">
        <v>275</v>
      </c>
      <c r="C259" s="183">
        <f>SUM(K60,K124,K188,I251)</f>
        <v>1.087672131147541</v>
      </c>
      <c r="D259" s="467">
        <f t="shared" si="107"/>
        <v>4.7640039344262295</v>
      </c>
      <c r="F259" s="165"/>
      <c r="G259" s="483"/>
      <c r="H259" s="483"/>
      <c r="I259" s="483"/>
      <c r="J259" s="483"/>
      <c r="K259" s="483"/>
    </row>
    <row r="260" spans="2:11" x14ac:dyDescent="0.2">
      <c r="B260" s="463" t="s">
        <v>184</v>
      </c>
      <c r="C260" s="461">
        <f t="shared" ref="C260" si="108">SUM(C257:C259)</f>
        <v>18780.937952875694</v>
      </c>
      <c r="D260" s="468">
        <f>C260*8760/2000</f>
        <v>82260.508233595538</v>
      </c>
      <c r="F260" s="165"/>
      <c r="G260" s="483"/>
      <c r="H260" s="404"/>
      <c r="I260" s="404"/>
      <c r="J260" s="404"/>
      <c r="K260" s="404"/>
    </row>
    <row r="261" spans="2:11" ht="15" thickBot="1" x14ac:dyDescent="0.3">
      <c r="B261" s="464" t="s">
        <v>254</v>
      </c>
      <c r="C261" s="421">
        <f>C257+(C258*21)+(C259*310)</f>
        <v>19123.522759047341</v>
      </c>
      <c r="D261" s="469">
        <f>C261*8760/2000</f>
        <v>83761.029684627356</v>
      </c>
      <c r="F261" s="165"/>
      <c r="G261" s="483"/>
      <c r="H261" s="404"/>
      <c r="I261" s="404"/>
      <c r="J261" s="404"/>
      <c r="K261" s="404"/>
    </row>
  </sheetData>
  <mergeCells count="24">
    <mergeCell ref="A254:M254"/>
    <mergeCell ref="A193:M193"/>
    <mergeCell ref="A194:M194"/>
    <mergeCell ref="E11:E50"/>
    <mergeCell ref="E202:E241"/>
    <mergeCell ref="A64:M64"/>
    <mergeCell ref="A195:M195"/>
    <mergeCell ref="A202:A253"/>
    <mergeCell ref="A131:M131"/>
    <mergeCell ref="A139:A190"/>
    <mergeCell ref="E75:E114"/>
    <mergeCell ref="E139:E178"/>
    <mergeCell ref="A128:M128"/>
    <mergeCell ref="A192:M192"/>
    <mergeCell ref="A1:M1"/>
    <mergeCell ref="A2:M2"/>
    <mergeCell ref="A3:M3"/>
    <mergeCell ref="A129:M129"/>
    <mergeCell ref="A130:M130"/>
    <mergeCell ref="A65:M65"/>
    <mergeCell ref="A11:A62"/>
    <mergeCell ref="A75:A126"/>
    <mergeCell ref="A66:M66"/>
    <mergeCell ref="A67:M67"/>
  </mergeCells>
  <printOptions horizontalCentered="1" gridLines="1" gridLinesSet="0"/>
  <pageMargins left="0.4" right="0.4" top="1" bottom="1" header="0.5" footer="0.5"/>
  <pageSetup scale="52" fitToHeight="4" orientation="portrait" horizontalDpi="1200" verticalDpi="1200" r:id="rId1"/>
  <headerFooter alignWithMargins="0"/>
  <rowBreaks count="3" manualBreakCount="3">
    <brk id="64" max="12" man="1"/>
    <brk id="128" max="12" man="1"/>
    <brk id="19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view="pageBreakPreview" zoomScale="80" zoomScaleNormal="90" zoomScaleSheetLayoutView="80" workbookViewId="0">
      <selection activeCell="W28" sqref="W28"/>
    </sheetView>
  </sheetViews>
  <sheetFormatPr defaultRowHeight="12.75" x14ac:dyDescent="0.2"/>
  <cols>
    <col min="1" max="1" width="30.140625" bestFit="1" customWidth="1"/>
    <col min="2" max="2" width="10.140625" style="465" bestFit="1" customWidth="1"/>
    <col min="3" max="3" width="9.85546875" style="1" bestFit="1" customWidth="1"/>
    <col min="4" max="4" width="9.42578125" style="1" bestFit="1" customWidth="1"/>
    <col min="5" max="6" width="9.85546875" style="1" bestFit="1" customWidth="1"/>
    <col min="7" max="7" width="9.42578125" style="1" bestFit="1" customWidth="1"/>
    <col min="8" max="8" width="9.28515625" style="1" bestFit="1" customWidth="1"/>
    <col min="9" max="9" width="9.7109375" style="1" bestFit="1" customWidth="1"/>
    <col min="10" max="10" width="9.42578125" style="1" bestFit="1" customWidth="1"/>
    <col min="11" max="11" width="11.140625" style="1" bestFit="1" customWidth="1"/>
    <col min="12" max="12" width="11.28515625" style="1" bestFit="1" customWidth="1"/>
    <col min="13" max="13" width="9.28515625" bestFit="1" customWidth="1"/>
    <col min="14" max="14" width="30.140625" bestFit="1" customWidth="1"/>
    <col min="15" max="15" width="10.140625" bestFit="1" customWidth="1"/>
    <col min="16" max="16" width="9.85546875" bestFit="1" customWidth="1"/>
    <col min="17" max="17" width="9.42578125" bestFit="1" customWidth="1"/>
    <col min="18" max="19" width="9.85546875" bestFit="1" customWidth="1"/>
    <col min="20" max="20" width="9.42578125" bestFit="1" customWidth="1"/>
    <col min="21" max="21" width="9.28515625" bestFit="1" customWidth="1"/>
    <col min="22" max="22" width="9.7109375" bestFit="1" customWidth="1"/>
    <col min="23" max="23" width="9.42578125" bestFit="1" customWidth="1"/>
    <col min="24" max="24" width="11.140625" bestFit="1" customWidth="1"/>
    <col min="25" max="25" width="11.28515625" bestFit="1" customWidth="1"/>
  </cols>
  <sheetData>
    <row r="1" spans="1:25" s="130" customFormat="1" ht="18" x14ac:dyDescent="0.25">
      <c r="A1" s="536" t="s">
        <v>20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25" s="130" customFormat="1" ht="15.75" x14ac:dyDescent="0.25">
      <c r="A2" s="537" t="s">
        <v>371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</row>
    <row r="3" spans="1:25" s="130" customFormat="1" ht="15.75" x14ac:dyDescent="0.25">
      <c r="A3" s="537" t="s">
        <v>372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</row>
    <row r="4" spans="1:25" s="130" customFormat="1" ht="16.5" thickBot="1" x14ac:dyDescent="0.3">
      <c r="A4" s="480"/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</row>
    <row r="5" spans="1:25" s="11" customFormat="1" ht="13.5" thickBot="1" x14ac:dyDescent="0.25">
      <c r="B5" s="465"/>
      <c r="C5" s="548" t="s">
        <v>11</v>
      </c>
      <c r="D5" s="549"/>
      <c r="E5" s="549" t="s">
        <v>10</v>
      </c>
      <c r="F5" s="549"/>
      <c r="G5" s="549" t="s">
        <v>7</v>
      </c>
      <c r="H5" s="549"/>
      <c r="I5" s="549" t="s">
        <v>292</v>
      </c>
      <c r="J5" s="549"/>
      <c r="K5" s="549" t="s">
        <v>0</v>
      </c>
      <c r="L5" s="550"/>
      <c r="O5" s="465"/>
      <c r="P5" s="548" t="s">
        <v>11</v>
      </c>
      <c r="Q5" s="549"/>
      <c r="R5" s="549" t="s">
        <v>10</v>
      </c>
      <c r="S5" s="549"/>
      <c r="T5" s="549" t="s">
        <v>7</v>
      </c>
      <c r="U5" s="549"/>
      <c r="V5" s="549" t="s">
        <v>292</v>
      </c>
      <c r="W5" s="549"/>
      <c r="X5" s="549" t="s">
        <v>0</v>
      </c>
      <c r="Y5" s="550"/>
    </row>
    <row r="6" spans="1:25" s="11" customFormat="1" x14ac:dyDescent="0.2">
      <c r="A6" s="496" t="s">
        <v>332</v>
      </c>
      <c r="B6" s="504" t="s">
        <v>333</v>
      </c>
      <c r="C6" s="488" t="s">
        <v>14</v>
      </c>
      <c r="D6" s="487" t="s">
        <v>316</v>
      </c>
      <c r="E6" s="487" t="s">
        <v>14</v>
      </c>
      <c r="F6" s="487" t="s">
        <v>316</v>
      </c>
      <c r="G6" s="487" t="s">
        <v>14</v>
      </c>
      <c r="H6" s="487" t="s">
        <v>316</v>
      </c>
      <c r="I6" s="487" t="s">
        <v>14</v>
      </c>
      <c r="J6" s="487" t="s">
        <v>316</v>
      </c>
      <c r="K6" s="487" t="s">
        <v>14</v>
      </c>
      <c r="L6" s="489" t="s">
        <v>316</v>
      </c>
      <c r="N6" s="496" t="s">
        <v>332</v>
      </c>
      <c r="O6" s="504" t="s">
        <v>333</v>
      </c>
      <c r="P6" s="488" t="s">
        <v>14</v>
      </c>
      <c r="Q6" s="487" t="s">
        <v>316</v>
      </c>
      <c r="R6" s="487" t="s">
        <v>14</v>
      </c>
      <c r="S6" s="487" t="s">
        <v>316</v>
      </c>
      <c r="T6" s="487" t="s">
        <v>14</v>
      </c>
      <c r="U6" s="487" t="s">
        <v>316</v>
      </c>
      <c r="V6" s="487" t="s">
        <v>14</v>
      </c>
      <c r="W6" s="487" t="s">
        <v>316</v>
      </c>
      <c r="X6" s="487" t="s">
        <v>14</v>
      </c>
      <c r="Y6" s="489" t="s">
        <v>316</v>
      </c>
    </row>
    <row r="7" spans="1:25" x14ac:dyDescent="0.2">
      <c r="A7" s="497" t="s">
        <v>139</v>
      </c>
      <c r="B7" s="498" t="s">
        <v>334</v>
      </c>
      <c r="C7" s="490">
        <f>'Combustion (Proposed)'!K11</f>
        <v>8.4510692436367636E-6</v>
      </c>
      <c r="D7" s="485">
        <f>'Combustion (Proposed)'!L11</f>
        <v>3.7015683287129023E-5</v>
      </c>
      <c r="E7" s="485">
        <f>'Combustion (Proposed)'!K75</f>
        <v>8.2853620035654551E-7</v>
      </c>
      <c r="F7" s="485">
        <f>'Combustion (Proposed)'!L75</f>
        <v>3.628988557561669E-6</v>
      </c>
      <c r="G7" s="485">
        <f>'Combustion (Proposed)'!K139</f>
        <v>2.9131332804536138E-6</v>
      </c>
      <c r="H7" s="485">
        <f>'Combustion (Proposed)'!L139</f>
        <v>1.2759523768386827E-5</v>
      </c>
      <c r="I7" s="485">
        <f>'Combustion (Proposed)'!I202</f>
        <v>5.5762294203778441E-6</v>
      </c>
      <c r="J7" s="485">
        <f>'Combustion (Proposed)'!J202</f>
        <v>2.4423884861254957E-5</v>
      </c>
      <c r="K7" s="486">
        <f>SUM(C7,E7,G7,I7)</f>
        <v>1.776896814482477E-5</v>
      </c>
      <c r="L7" s="491">
        <f>SUM(D7,F7,H7,J7)</f>
        <v>7.782808047433248E-5</v>
      </c>
      <c r="M7">
        <v>1</v>
      </c>
      <c r="N7" s="497" t="s">
        <v>139</v>
      </c>
      <c r="O7" s="498" t="s">
        <v>334</v>
      </c>
      <c r="P7" s="490">
        <v>8.4510692436367602E-6</v>
      </c>
      <c r="Q7" s="485">
        <v>3.7015683287129023E-5</v>
      </c>
      <c r="R7" s="485">
        <v>8.2853620035654551E-7</v>
      </c>
      <c r="S7" s="485">
        <v>3.628988557561669E-6</v>
      </c>
      <c r="T7" s="485">
        <v>2.9131332804536138E-6</v>
      </c>
      <c r="U7" s="485">
        <v>1.2759523768386827E-5</v>
      </c>
      <c r="V7" s="485">
        <v>5.5762294203778441E-6</v>
      </c>
      <c r="W7" s="485">
        <v>2.4423884861254957E-5</v>
      </c>
      <c r="X7" s="486">
        <v>1.776896814482477E-5</v>
      </c>
      <c r="Y7" s="491">
        <v>7.782808047433248E-5</v>
      </c>
    </row>
    <row r="8" spans="1:25" x14ac:dyDescent="0.2">
      <c r="A8" s="497" t="s">
        <v>140</v>
      </c>
      <c r="B8" s="498" t="s">
        <v>335</v>
      </c>
      <c r="C8" s="490">
        <f>'Combustion (Proposed)'!K12</f>
        <v>1.0133272600190053E-7</v>
      </c>
      <c r="D8" s="485">
        <f>'Combustion (Proposed)'!L12</f>
        <v>4.4383733988832429E-7</v>
      </c>
      <c r="E8" s="485">
        <f>'Combustion (Proposed)'!K76</f>
        <v>9.9345809805784839E-9</v>
      </c>
      <c r="F8" s="485">
        <f>'Combustion (Proposed)'!L76</f>
        <v>4.3513464694933758E-8</v>
      </c>
      <c r="G8" s="485">
        <f>'Combustion (Proposed)'!K140</f>
        <v>3.4929986727713942E-8</v>
      </c>
      <c r="H8" s="485">
        <f>'Combustion (Proposed)'!L140</f>
        <v>1.5299334186738709E-7</v>
      </c>
      <c r="I8" s="485">
        <f>'Combustion (Proposed)'!I203</f>
        <v>6.6861897789364671E-8</v>
      </c>
      <c r="J8" s="485">
        <f>'Combustion (Proposed)'!J203</f>
        <v>2.9285511231741728E-7</v>
      </c>
      <c r="K8" s="486">
        <f t="shared" ref="K8:K44" si="0">SUM(C8,E8,G8,I8)</f>
        <v>2.1305919149955762E-7</v>
      </c>
      <c r="L8" s="491">
        <f t="shared" ref="L8:L44" si="1">SUM(D8,F8,H8,J8)</f>
        <v>9.3319925876806245E-7</v>
      </c>
      <c r="N8" s="497" t="s">
        <v>140</v>
      </c>
      <c r="O8" s="498" t="s">
        <v>335</v>
      </c>
      <c r="P8" s="490">
        <v>1.0133272600190053E-7</v>
      </c>
      <c r="Q8" s="485">
        <v>4.4383733988832429E-7</v>
      </c>
      <c r="R8" s="485">
        <v>9.9345809805784839E-9</v>
      </c>
      <c r="S8" s="485">
        <v>4.3513464694933758E-8</v>
      </c>
      <c r="T8" s="485">
        <v>3.4929986727713942E-8</v>
      </c>
      <c r="U8" s="485">
        <v>1.5299334186738709E-7</v>
      </c>
      <c r="V8" s="485">
        <v>6.6861897789364671E-8</v>
      </c>
      <c r="W8" s="485">
        <v>2.9285511231741728E-7</v>
      </c>
      <c r="X8" s="486">
        <v>2.1305919149955762E-7</v>
      </c>
      <c r="Y8" s="491">
        <v>9.3319925876806245E-7</v>
      </c>
    </row>
    <row r="9" spans="1:25" ht="13.5" thickBot="1" x14ac:dyDescent="0.25">
      <c r="A9" s="497" t="s">
        <v>141</v>
      </c>
      <c r="B9" s="499" t="s">
        <v>336</v>
      </c>
      <c r="C9" s="490">
        <f>'Combustion (Proposed)'!K13</f>
        <v>4.8864002261786023E-7</v>
      </c>
      <c r="D9" s="485">
        <f>'Combustion (Proposed)'!L13</f>
        <v>2.1402432990662281E-6</v>
      </c>
      <c r="E9" s="485">
        <f>'Combustion (Proposed)'!K77</f>
        <v>4.7905884570378462E-8</v>
      </c>
      <c r="F9" s="485">
        <f>'Combustion (Proposed)'!L77</f>
        <v>2.0982777441825766E-7</v>
      </c>
      <c r="G9" s="485">
        <f>'Combustion (Proposed)'!K141</f>
        <v>1.6843709014945065E-7</v>
      </c>
      <c r="H9" s="485">
        <f>'Combustion (Proposed)'!L141</f>
        <v>7.3775445485459389E-7</v>
      </c>
      <c r="I9" s="485">
        <f>'Combustion (Proposed)'!I204</f>
        <v>3.2241705653369525E-7</v>
      </c>
      <c r="J9" s="485">
        <f>'Combustion (Proposed)'!J204</f>
        <v>1.4121867076175852E-6</v>
      </c>
      <c r="K9" s="486">
        <f t="shared" si="0"/>
        <v>1.0274000538713845E-6</v>
      </c>
      <c r="L9" s="491">
        <f t="shared" si="1"/>
        <v>4.500012235956665E-6</v>
      </c>
      <c r="N9" s="502" t="s">
        <v>141</v>
      </c>
      <c r="O9" s="511" t="s">
        <v>336</v>
      </c>
      <c r="P9" s="492">
        <v>4.8864002261786023E-7</v>
      </c>
      <c r="Q9" s="493">
        <v>2.1402432990662281E-6</v>
      </c>
      <c r="R9" s="493">
        <v>4.7905884570378462E-8</v>
      </c>
      <c r="S9" s="493">
        <v>2.0982777441825766E-7</v>
      </c>
      <c r="T9" s="493">
        <v>1.6843709014945065E-7</v>
      </c>
      <c r="U9" s="493">
        <v>7.3775445485459389E-7</v>
      </c>
      <c r="V9" s="493">
        <v>3.2241705653369525E-7</v>
      </c>
      <c r="W9" s="493">
        <v>1.4121867076175852E-6</v>
      </c>
      <c r="X9" s="494">
        <v>1.0274000538713845E-6</v>
      </c>
      <c r="Y9" s="495">
        <v>4.500012235956665E-6</v>
      </c>
    </row>
    <row r="10" spans="1:25" x14ac:dyDescent="0.2">
      <c r="A10" s="497" t="s">
        <v>186</v>
      </c>
      <c r="B10" s="499" t="s">
        <v>337</v>
      </c>
      <c r="C10" s="490">
        <f>'Combustion (Proposed)'!K14</f>
        <v>1.6061036808996881E-6</v>
      </c>
      <c r="D10" s="485">
        <f>'Combustion (Proposed)'!L14</f>
        <v>7.0347341223406339E-6</v>
      </c>
      <c r="E10" s="485">
        <f>'Combustion (Proposed)'!K78</f>
        <v>1.5746114518624394E-7</v>
      </c>
      <c r="F10" s="485">
        <f>'Combustion (Proposed)'!L78</f>
        <v>6.8967981591574848E-7</v>
      </c>
      <c r="G10" s="485">
        <f>'Combustion (Proposed)'!K142</f>
        <v>5.5363338647483361E-7</v>
      </c>
      <c r="H10" s="485">
        <f>'Combustion (Proposed)'!L142</f>
        <v>2.4249142327597714E-6</v>
      </c>
      <c r="I10" s="485">
        <f>'Combustion (Proposed)'!I205</f>
        <v>1.0597478661476376E-6</v>
      </c>
      <c r="J10" s="485">
        <f>'Combustion (Proposed)'!J205</f>
        <v>4.6416956537266528E-6</v>
      </c>
      <c r="K10" s="486">
        <f t="shared" si="0"/>
        <v>3.3769460787084036E-6</v>
      </c>
      <c r="L10" s="491">
        <f t="shared" si="1"/>
        <v>1.4791023824742805E-5</v>
      </c>
      <c r="M10">
        <v>2</v>
      </c>
      <c r="N10" s="505" t="s">
        <v>142</v>
      </c>
      <c r="O10" s="506" t="s">
        <v>337</v>
      </c>
      <c r="P10" s="507">
        <v>1.6061036808996881E-6</v>
      </c>
      <c r="Q10" s="508">
        <v>7.0347341223406339E-6</v>
      </c>
      <c r="R10" s="508">
        <v>1.5746114518624394E-7</v>
      </c>
      <c r="S10" s="508">
        <v>6.8967981591574848E-7</v>
      </c>
      <c r="T10" s="508">
        <v>5.5363338647483361E-7</v>
      </c>
      <c r="U10" s="508">
        <v>2.4249142327597714E-6</v>
      </c>
      <c r="V10" s="508">
        <v>1.0597478661476376E-6</v>
      </c>
      <c r="W10" s="508">
        <v>4.6416956537266528E-6</v>
      </c>
      <c r="X10" s="509">
        <v>3.3769460787084036E-6</v>
      </c>
      <c r="Y10" s="510">
        <v>1.4791023824742805E-5</v>
      </c>
    </row>
    <row r="11" spans="1:25" x14ac:dyDescent="0.2">
      <c r="A11" s="497" t="s">
        <v>143</v>
      </c>
      <c r="B11" s="499" t="s">
        <v>338</v>
      </c>
      <c r="C11" s="490">
        <f>'Combustion (Proposed)'!K15</f>
        <v>1.05E-4</v>
      </c>
      <c r="D11" s="485">
        <f>'Combustion (Proposed)'!L15</f>
        <v>4.5990000000000001E-4</v>
      </c>
      <c r="E11" s="485">
        <f>'Combustion (Proposed)'!K79</f>
        <v>1.0294117647058823E-5</v>
      </c>
      <c r="F11" s="485">
        <f>'Combustion (Proposed)'!L79</f>
        <v>4.5088235294117644E-5</v>
      </c>
      <c r="G11" s="485">
        <f>'Combustion (Proposed)'!K143</f>
        <v>3.6194117647058815E-5</v>
      </c>
      <c r="H11" s="485">
        <f>'Combustion (Proposed)'!L143</f>
        <v>1.5853023529411762E-4</v>
      </c>
      <c r="I11" s="485">
        <f>'Combustion (Proposed)'!I206</f>
        <v>7.6176470588235301E-5</v>
      </c>
      <c r="J11" s="485">
        <f>'Combustion (Proposed)'!J206</f>
        <v>3.3365294117647062E-4</v>
      </c>
      <c r="K11" s="486">
        <f t="shared" si="0"/>
        <v>2.2766470588235296E-4</v>
      </c>
      <c r="L11" s="491">
        <f t="shared" si="1"/>
        <v>9.9717141176470592E-4</v>
      </c>
      <c r="N11" s="497" t="s">
        <v>143</v>
      </c>
      <c r="O11" s="499" t="s">
        <v>338</v>
      </c>
      <c r="P11" s="490">
        <v>1.05E-4</v>
      </c>
      <c r="Q11" s="485">
        <v>4.5990000000000001E-4</v>
      </c>
      <c r="R11" s="485">
        <v>1.0294117647058823E-5</v>
      </c>
      <c r="S11" s="485">
        <v>4.5088235294117644E-5</v>
      </c>
      <c r="T11" s="485">
        <v>3.6194117647058815E-5</v>
      </c>
      <c r="U11" s="485">
        <v>1.5853023529411762E-4</v>
      </c>
      <c r="V11" s="485">
        <v>7.6176470588235301E-5</v>
      </c>
      <c r="W11" s="485">
        <v>3.3365294117647062E-4</v>
      </c>
      <c r="X11" s="486">
        <v>2.2766470588235296E-4</v>
      </c>
      <c r="Y11" s="491">
        <v>9.9717141176470592E-4</v>
      </c>
    </row>
    <row r="12" spans="1:25" ht="13.5" thickBot="1" x14ac:dyDescent="0.25">
      <c r="A12" s="500" t="s">
        <v>144</v>
      </c>
      <c r="B12" s="499" t="s">
        <v>339</v>
      </c>
      <c r="C12" s="490">
        <f>'Combustion (Proposed)'!K16</f>
        <v>5.9999999999999995E-8</v>
      </c>
      <c r="D12" s="485">
        <f>'Combustion (Proposed)'!L16</f>
        <v>2.628E-7</v>
      </c>
      <c r="E12" s="485">
        <f>'Combustion (Proposed)'!K80</f>
        <v>5.8823529411764704E-9</v>
      </c>
      <c r="F12" s="485">
        <f>'Combustion (Proposed)'!L80</f>
        <v>2.5764705882352942E-8</v>
      </c>
      <c r="G12" s="485">
        <f>'Combustion (Proposed)'!K144</f>
        <v>2.0682352941176466E-8</v>
      </c>
      <c r="H12" s="485">
        <f>'Combustion (Proposed)'!L144</f>
        <v>9.0588705882352931E-8</v>
      </c>
      <c r="I12" s="485">
        <f>'Combustion (Proposed)'!I207</f>
        <v>4.3529411764705885E-8</v>
      </c>
      <c r="J12" s="485">
        <f>'Combustion (Proposed)'!J207</f>
        <v>1.9065882352941177E-7</v>
      </c>
      <c r="K12" s="486">
        <f t="shared" si="0"/>
        <v>1.3009411764705882E-7</v>
      </c>
      <c r="L12" s="491">
        <f t="shared" si="1"/>
        <v>5.6981223529411763E-7</v>
      </c>
      <c r="N12" s="513" t="s">
        <v>144</v>
      </c>
      <c r="O12" s="511" t="s">
        <v>339</v>
      </c>
      <c r="P12" s="492">
        <v>5.9999999999999995E-8</v>
      </c>
      <c r="Q12" s="493">
        <v>2.628E-7</v>
      </c>
      <c r="R12" s="493">
        <v>5.8823529411764704E-9</v>
      </c>
      <c r="S12" s="493">
        <v>2.5764705882352942E-8</v>
      </c>
      <c r="T12" s="493">
        <v>2.0682352941176466E-8</v>
      </c>
      <c r="U12" s="493">
        <v>9.0588705882352931E-8</v>
      </c>
      <c r="V12" s="493">
        <v>4.3529411764705885E-8</v>
      </c>
      <c r="W12" s="493">
        <v>1.9065882352941177E-7</v>
      </c>
      <c r="X12" s="494">
        <v>1.3009411764705882E-7</v>
      </c>
      <c r="Y12" s="495">
        <v>5.6981223529411763E-7</v>
      </c>
    </row>
    <row r="13" spans="1:25" x14ac:dyDescent="0.2">
      <c r="A13" s="497" t="s">
        <v>145</v>
      </c>
      <c r="B13" s="499" t="s">
        <v>340</v>
      </c>
      <c r="C13" s="490">
        <f>'Combustion (Proposed)'!K17</f>
        <v>5.9277642088068289E-7</v>
      </c>
      <c r="D13" s="485">
        <f>'Combustion (Proposed)'!L17</f>
        <v>2.5963607234573912E-6</v>
      </c>
      <c r="E13" s="485">
        <f>'Combustion (Proposed)'!K81</f>
        <v>5.8115335380459114E-8</v>
      </c>
      <c r="F13" s="485">
        <f>'Combustion (Proposed)'!L81</f>
        <v>2.5454516896641092E-7</v>
      </c>
      <c r="G13" s="485">
        <f>'Combustion (Proposed)'!K145</f>
        <v>2.0433351919769422E-7</v>
      </c>
      <c r="H13" s="485">
        <f>'Combustion (Proposed)'!L145</f>
        <v>8.9498081408590065E-7</v>
      </c>
      <c r="I13" s="485">
        <f>'Combustion (Proposed)'!I208</f>
        <v>3.9112888825399095E-7</v>
      </c>
      <c r="J13" s="485">
        <f>'Combustion (Proposed)'!J208</f>
        <v>1.7131445305524803E-6</v>
      </c>
      <c r="K13" s="486">
        <f t="shared" si="0"/>
        <v>1.2463541637128272E-6</v>
      </c>
      <c r="L13" s="491">
        <f t="shared" si="1"/>
        <v>5.4590312370621835E-6</v>
      </c>
      <c r="M13">
        <v>3</v>
      </c>
      <c r="N13" s="512" t="s">
        <v>145</v>
      </c>
      <c r="O13" s="506" t="s">
        <v>340</v>
      </c>
      <c r="P13" s="507">
        <v>5.9277642088068289E-7</v>
      </c>
      <c r="Q13" s="508">
        <v>2.5963607234573912E-6</v>
      </c>
      <c r="R13" s="508">
        <v>5.8115335380459114E-8</v>
      </c>
      <c r="S13" s="508">
        <v>2.5454516896641092E-7</v>
      </c>
      <c r="T13" s="508">
        <v>2.0433351919769422E-7</v>
      </c>
      <c r="U13" s="508">
        <v>8.9498081408590065E-7</v>
      </c>
      <c r="V13" s="508">
        <v>3.9112888825399095E-7</v>
      </c>
      <c r="W13" s="508">
        <v>1.7131445305524803E-6</v>
      </c>
      <c r="X13" s="509">
        <v>1.2463541637128272E-6</v>
      </c>
      <c r="Y13" s="510">
        <v>5.4590312370621835E-6</v>
      </c>
    </row>
    <row r="14" spans="1:25" x14ac:dyDescent="0.2">
      <c r="A14" s="497" t="s">
        <v>146</v>
      </c>
      <c r="B14" s="498" t="s">
        <v>341</v>
      </c>
      <c r="C14" s="490">
        <f>'Combustion (Proposed)'!K18</f>
        <v>9.05185615669151E-7</v>
      </c>
      <c r="D14" s="485">
        <f>'Combustion (Proposed)'!L18</f>
        <v>3.9647129966308816E-6</v>
      </c>
      <c r="E14" s="485">
        <f>'Combustion (Proposed)'!K82</f>
        <v>8.8743687810701077E-8</v>
      </c>
      <c r="F14" s="485">
        <f>'Combustion (Proposed)'!L82</f>
        <v>3.8869735261087069E-7</v>
      </c>
      <c r="G14" s="485">
        <f>'Combustion (Proposed)'!K146</f>
        <v>3.1202280634242495E-7</v>
      </c>
      <c r="H14" s="485">
        <f>'Combustion (Proposed)'!L146</f>
        <v>1.3666598917798214E-6</v>
      </c>
      <c r="I14" s="485">
        <f>'Combustion (Proposed)'!I209</f>
        <v>5.9726438341487807E-7</v>
      </c>
      <c r="J14" s="485">
        <f>'Combustion (Proposed)'!J209</f>
        <v>2.616017999357166E-6</v>
      </c>
      <c r="K14" s="486">
        <f t="shared" si="0"/>
        <v>1.9032164932371551E-6</v>
      </c>
      <c r="L14" s="491">
        <f t="shared" si="1"/>
        <v>8.33608824037874E-6</v>
      </c>
      <c r="N14" s="497" t="s">
        <v>146</v>
      </c>
      <c r="O14" s="498" t="s">
        <v>341</v>
      </c>
      <c r="P14" s="490">
        <v>9.05185615669151E-7</v>
      </c>
      <c r="Q14" s="485">
        <v>3.9647129966308816E-6</v>
      </c>
      <c r="R14" s="485">
        <v>8.8743687810701077E-8</v>
      </c>
      <c r="S14" s="485">
        <v>3.8869735261087069E-7</v>
      </c>
      <c r="T14" s="485">
        <v>3.1202280634242501E-7</v>
      </c>
      <c r="U14" s="485">
        <v>1.3666598917798214E-6</v>
      </c>
      <c r="V14" s="485">
        <v>5.9726438341487807E-7</v>
      </c>
      <c r="W14" s="485">
        <v>2.616017999357166E-6</v>
      </c>
      <c r="X14" s="486">
        <v>1.9032164932371551E-6</v>
      </c>
      <c r="Y14" s="491">
        <v>8.33608824037874E-6</v>
      </c>
    </row>
    <row r="15" spans="1:25" ht="13.5" thickBot="1" x14ac:dyDescent="0.25">
      <c r="A15" s="497" t="s">
        <v>147</v>
      </c>
      <c r="B15" s="498" t="s">
        <v>342</v>
      </c>
      <c r="C15" s="490">
        <f>'Combustion (Proposed)'!K19</f>
        <v>5.9277642088068289E-7</v>
      </c>
      <c r="D15" s="485">
        <f>'Combustion (Proposed)'!L19</f>
        <v>2.5963607234573912E-6</v>
      </c>
      <c r="E15" s="485">
        <f>'Combustion (Proposed)'!K83</f>
        <v>5.8115335380459114E-8</v>
      </c>
      <c r="F15" s="485">
        <f>'Combustion (Proposed)'!L83</f>
        <v>2.5454516896641092E-7</v>
      </c>
      <c r="G15" s="485">
        <f>'Combustion (Proposed)'!K147</f>
        <v>2.0433351919769422E-7</v>
      </c>
      <c r="H15" s="485">
        <f>'Combustion (Proposed)'!L147</f>
        <v>8.9498081408590065E-7</v>
      </c>
      <c r="I15" s="485">
        <f>'Combustion (Proposed)'!I210</f>
        <v>3.9112888825399095E-7</v>
      </c>
      <c r="J15" s="485">
        <f>'Combustion (Proposed)'!J210</f>
        <v>1.7131445305524803E-6</v>
      </c>
      <c r="K15" s="486">
        <f t="shared" si="0"/>
        <v>1.2463541637128272E-6</v>
      </c>
      <c r="L15" s="491">
        <f t="shared" si="1"/>
        <v>5.4590312370621835E-6</v>
      </c>
      <c r="N15" s="502" t="s">
        <v>147</v>
      </c>
      <c r="O15" s="503" t="s">
        <v>342</v>
      </c>
      <c r="P15" s="492">
        <v>5.9277642088068289E-7</v>
      </c>
      <c r="Q15" s="493">
        <v>2.5963607234573912E-6</v>
      </c>
      <c r="R15" s="493">
        <v>5.8115335380459114E-8</v>
      </c>
      <c r="S15" s="493">
        <v>2.5454516896641092E-7</v>
      </c>
      <c r="T15" s="493">
        <v>2.0433351919769422E-7</v>
      </c>
      <c r="U15" s="493">
        <v>8.9498081408590065E-7</v>
      </c>
      <c r="V15" s="493">
        <v>3.9112888825399095E-7</v>
      </c>
      <c r="W15" s="493">
        <v>1.7131445305524803E-6</v>
      </c>
      <c r="X15" s="494">
        <v>1.2463541637128272E-6</v>
      </c>
      <c r="Y15" s="495">
        <v>5.4590312370621835E-6</v>
      </c>
    </row>
    <row r="16" spans="1:25" x14ac:dyDescent="0.2">
      <c r="A16" s="497" t="s">
        <v>148</v>
      </c>
      <c r="B16" s="498" t="s">
        <v>343</v>
      </c>
      <c r="C16" s="490">
        <f>'Combustion (Proposed)'!K20</f>
        <v>9.5324856871353074E-7</v>
      </c>
      <c r="D16" s="485">
        <f>'Combustion (Proposed)'!L20</f>
        <v>4.1752287309652644E-6</v>
      </c>
      <c r="E16" s="485">
        <f>'Combustion (Proposed)'!K84</f>
        <v>9.3455742030738313E-8</v>
      </c>
      <c r="F16" s="485">
        <f>'Combustion (Proposed)'!L84</f>
        <v>4.093361500946338E-7</v>
      </c>
      <c r="G16" s="485">
        <f>'Combustion (Proposed)'!K148</f>
        <v>3.2859038898007587E-7</v>
      </c>
      <c r="H16" s="485">
        <f>'Combustion (Proposed)'!L148</f>
        <v>1.4392259037327322E-6</v>
      </c>
      <c r="I16" s="485">
        <f>'Combustion (Proposed)'!I211</f>
        <v>6.2897753651655306E-7</v>
      </c>
      <c r="J16" s="485">
        <f>'Combustion (Proposed)'!J211</f>
        <v>2.7549216099425025E-6</v>
      </c>
      <c r="K16" s="486">
        <f t="shared" si="0"/>
        <v>2.004272236240898E-6</v>
      </c>
      <c r="L16" s="491">
        <f t="shared" si="1"/>
        <v>8.7787123947351316E-6</v>
      </c>
      <c r="M16">
        <v>4</v>
      </c>
      <c r="N16" s="512" t="s">
        <v>148</v>
      </c>
      <c r="O16" s="514" t="s">
        <v>343</v>
      </c>
      <c r="P16" s="507">
        <v>9.5324856871353074E-7</v>
      </c>
      <c r="Q16" s="508">
        <v>4.1752287309652644E-6</v>
      </c>
      <c r="R16" s="508">
        <v>9.3455742030738313E-8</v>
      </c>
      <c r="S16" s="508">
        <v>4.093361500946338E-7</v>
      </c>
      <c r="T16" s="508">
        <v>3.2859038898007587E-7</v>
      </c>
      <c r="U16" s="508">
        <v>1.4392259037327322E-6</v>
      </c>
      <c r="V16" s="508">
        <v>6.2897753651655306E-7</v>
      </c>
      <c r="W16" s="508">
        <v>2.7549216099425025E-6</v>
      </c>
      <c r="X16" s="509">
        <v>2.004272236240898E-6</v>
      </c>
      <c r="Y16" s="510">
        <v>8.7787123947351316E-6</v>
      </c>
    </row>
    <row r="17" spans="1:25" x14ac:dyDescent="0.2">
      <c r="A17" s="497" t="s">
        <v>149</v>
      </c>
      <c r="B17" s="498" t="s">
        <v>344</v>
      </c>
      <c r="C17" s="490">
        <f>'Combustion (Proposed)'!K21</f>
        <v>5.9999999999999995E-5</v>
      </c>
      <c r="D17" s="485">
        <f>'Combustion (Proposed)'!L21</f>
        <v>2.6279999999999999E-4</v>
      </c>
      <c r="E17" s="485">
        <f>'Combustion (Proposed)'!K85</f>
        <v>5.8823529411764701E-6</v>
      </c>
      <c r="F17" s="485">
        <f>'Combustion (Proposed)'!L85</f>
        <v>2.5764705882352938E-5</v>
      </c>
      <c r="G17" s="485">
        <f>'Combustion (Proposed)'!K149</f>
        <v>2.0682352941176467E-5</v>
      </c>
      <c r="H17" s="485">
        <f>'Combustion (Proposed)'!L149</f>
        <v>9.0588705882352929E-5</v>
      </c>
      <c r="I17" s="485">
        <f>'Combustion (Proposed)'!I212</f>
        <v>4.3529411764705885E-5</v>
      </c>
      <c r="J17" s="485">
        <f>'Combustion (Proposed)'!J212</f>
        <v>1.9065882352941178E-4</v>
      </c>
      <c r="K17" s="486">
        <f t="shared" si="0"/>
        <v>1.3009411764705882E-4</v>
      </c>
      <c r="L17" s="491">
        <f t="shared" si="1"/>
        <v>5.6981223529411768E-4</v>
      </c>
      <c r="N17" s="497" t="s">
        <v>149</v>
      </c>
      <c r="O17" s="498" t="s">
        <v>344</v>
      </c>
      <c r="P17" s="490">
        <v>5.9999999999999995E-5</v>
      </c>
      <c r="Q17" s="485">
        <v>2.6279999999999999E-4</v>
      </c>
      <c r="R17" s="485">
        <v>5.8823529411764701E-6</v>
      </c>
      <c r="S17" s="485">
        <v>2.5764705882352938E-5</v>
      </c>
      <c r="T17" s="485">
        <v>2.0682352941176467E-5</v>
      </c>
      <c r="U17" s="485">
        <v>9.0588705882352929E-5</v>
      </c>
      <c r="V17" s="485">
        <v>4.3529411764705885E-5</v>
      </c>
      <c r="W17" s="485">
        <v>1.9065882352941178E-4</v>
      </c>
      <c r="X17" s="486">
        <v>1.3009411764705882E-4</v>
      </c>
      <c r="Y17" s="491">
        <v>5.6981223529411768E-4</v>
      </c>
    </row>
    <row r="18" spans="1:25" ht="13.5" thickBot="1" x14ac:dyDescent="0.25">
      <c r="A18" s="501" t="s">
        <v>150</v>
      </c>
      <c r="B18" s="498" t="s">
        <v>370</v>
      </c>
      <c r="C18" s="490">
        <f>'Combustion (Proposed)'!K22</f>
        <v>5.9999999999999995E-5</v>
      </c>
      <c r="D18" s="485">
        <f>'Combustion (Proposed)'!L22</f>
        <v>2.6279999999999999E-4</v>
      </c>
      <c r="E18" s="485">
        <f>'Combustion (Proposed)'!K86</f>
        <v>5.8823529411764701E-6</v>
      </c>
      <c r="F18" s="485">
        <f>'Combustion (Proposed)'!L86</f>
        <v>2.5764705882352938E-5</v>
      </c>
      <c r="G18" s="485">
        <f>'Combustion (Proposed)'!K150</f>
        <v>2.0682352941176467E-5</v>
      </c>
      <c r="H18" s="485">
        <f>'Combustion (Proposed)'!L150</f>
        <v>9.0588705882352929E-5</v>
      </c>
      <c r="I18" s="485">
        <f>'Combustion (Proposed)'!I213</f>
        <v>4.3529411764705885E-5</v>
      </c>
      <c r="J18" s="485">
        <f>'Combustion (Proposed)'!J213</f>
        <v>1.9065882352941178E-4</v>
      </c>
      <c r="K18" s="486">
        <f t="shared" si="0"/>
        <v>1.3009411764705882E-4</v>
      </c>
      <c r="L18" s="491">
        <f t="shared" si="1"/>
        <v>5.6981223529411768E-4</v>
      </c>
      <c r="N18" s="515" t="s">
        <v>150</v>
      </c>
      <c r="O18" s="503" t="s">
        <v>370</v>
      </c>
      <c r="P18" s="492">
        <v>5.9999999999999995E-5</v>
      </c>
      <c r="Q18" s="493">
        <v>2.6279999999999999E-4</v>
      </c>
      <c r="R18" s="493">
        <v>5.8823529411764701E-6</v>
      </c>
      <c r="S18" s="493">
        <v>2.5764705882352938E-5</v>
      </c>
      <c r="T18" s="493">
        <v>2.0682352941176467E-5</v>
      </c>
      <c r="U18" s="493">
        <v>9.0588705882352929E-5</v>
      </c>
      <c r="V18" s="493">
        <v>4.3529411764705885E-5</v>
      </c>
      <c r="W18" s="493">
        <v>1.9065882352941178E-4</v>
      </c>
      <c r="X18" s="494">
        <v>1.3009411764705882E-4</v>
      </c>
      <c r="Y18" s="495">
        <v>5.6981223529411768E-4</v>
      </c>
    </row>
    <row r="19" spans="1:25" x14ac:dyDescent="0.2">
      <c r="A19" s="501" t="s">
        <v>242</v>
      </c>
      <c r="B19" s="498" t="s">
        <v>369</v>
      </c>
      <c r="C19" s="490">
        <f>'Combustion (Proposed)'!K23</f>
        <v>7.9999999999999996E-7</v>
      </c>
      <c r="D19" s="485">
        <f>'Combustion (Proposed)'!L23</f>
        <v>3.5039999999999998E-6</v>
      </c>
      <c r="E19" s="485">
        <f>'Combustion (Proposed)'!K87</f>
        <v>7.8431372549019607E-8</v>
      </c>
      <c r="F19" s="485">
        <f>'Combustion (Proposed)'!L87</f>
        <v>3.4352941176470583E-7</v>
      </c>
      <c r="G19" s="485">
        <f>'Combustion (Proposed)'!K151</f>
        <v>2.7576470588235289E-7</v>
      </c>
      <c r="H19" s="485">
        <f>'Combustion (Proposed)'!L151</f>
        <v>1.2078494117647057E-6</v>
      </c>
      <c r="I19" s="485">
        <f>'Combustion (Proposed)'!I214</f>
        <v>5.803921568627451E-7</v>
      </c>
      <c r="J19" s="485">
        <f>'Combustion (Proposed)'!J214</f>
        <v>2.5421176470588234E-6</v>
      </c>
      <c r="K19" s="486">
        <f t="shared" si="0"/>
        <v>1.7345882352941177E-6</v>
      </c>
      <c r="L19" s="491">
        <f t="shared" si="1"/>
        <v>7.5974964705882345E-6</v>
      </c>
      <c r="M19">
        <v>5</v>
      </c>
      <c r="N19" s="505" t="s">
        <v>242</v>
      </c>
      <c r="O19" s="514" t="s">
        <v>369</v>
      </c>
      <c r="P19" s="507">
        <v>7.9999999999999996E-7</v>
      </c>
      <c r="Q19" s="508">
        <v>3.5039999999999998E-6</v>
      </c>
      <c r="R19" s="508">
        <v>7.8431372549019607E-8</v>
      </c>
      <c r="S19" s="508">
        <v>3.4352941176470583E-7</v>
      </c>
      <c r="T19" s="508">
        <v>2.7576470588235289E-7</v>
      </c>
      <c r="U19" s="508">
        <v>1.2078494117647057E-6</v>
      </c>
      <c r="V19" s="508">
        <v>5.803921568627451E-7</v>
      </c>
      <c r="W19" s="508">
        <v>2.5421176470588234E-6</v>
      </c>
      <c r="X19" s="509">
        <v>1.7345882352941177E-6</v>
      </c>
      <c r="Y19" s="510">
        <v>7.5974964705882345E-6</v>
      </c>
    </row>
    <row r="20" spans="1:25" x14ac:dyDescent="0.2">
      <c r="A20" s="501" t="s">
        <v>151</v>
      </c>
      <c r="B20" s="498" t="s">
        <v>365</v>
      </c>
      <c r="C20" s="490">
        <f>'Combustion (Proposed)'!K24</f>
        <v>2.5473365113521239E-5</v>
      </c>
      <c r="D20" s="485">
        <f>'Combustion (Proposed)'!L24</f>
        <v>1.1157333919722303E-4</v>
      </c>
      <c r="E20" s="485">
        <f>'Combustion (Proposed)'!K88</f>
        <v>2.4973887366197298E-6</v>
      </c>
      <c r="F20" s="485">
        <f>'Combustion (Proposed)'!L88</f>
        <v>1.0938562666394416E-5</v>
      </c>
      <c r="G20" s="485">
        <f>'Combustion (Proposed)'!K152</f>
        <v>8.7808187979549688E-6</v>
      </c>
      <c r="H20" s="485">
        <f>'Combustion (Proposed)'!L152</f>
        <v>3.8459986335042767E-5</v>
      </c>
      <c r="I20" s="485">
        <f>'Combustion (Proposed)'!I215</f>
        <v>1.6807971143887719E-5</v>
      </c>
      <c r="J20" s="485">
        <f>'Combustion (Proposed)'!J215</f>
        <v>7.3618913610228214E-5</v>
      </c>
      <c r="K20" s="486">
        <f t="shared" si="0"/>
        <v>5.3559543791983658E-5</v>
      </c>
      <c r="L20" s="491">
        <f t="shared" si="1"/>
        <v>2.345908018088884E-4</v>
      </c>
      <c r="N20" s="501" t="s">
        <v>151</v>
      </c>
      <c r="O20" s="498" t="s">
        <v>365</v>
      </c>
      <c r="P20" s="490">
        <v>2.5473365113521239E-5</v>
      </c>
      <c r="Q20" s="485">
        <v>1.1157333919722303E-4</v>
      </c>
      <c r="R20" s="485">
        <v>2.4973887366197298E-6</v>
      </c>
      <c r="S20" s="485">
        <v>1.0938562666394416E-5</v>
      </c>
      <c r="T20" s="485">
        <v>8.7808187979549688E-6</v>
      </c>
      <c r="U20" s="485">
        <v>3.8459986335042767E-5</v>
      </c>
      <c r="V20" s="485">
        <v>1.6807971143887719E-5</v>
      </c>
      <c r="W20" s="485">
        <v>7.3618913610228214E-5</v>
      </c>
      <c r="X20" s="486">
        <v>5.3559543791983658E-5</v>
      </c>
      <c r="Y20" s="491">
        <v>2.345908018088884E-4</v>
      </c>
    </row>
    <row r="21" spans="1:25" ht="13.5" thickBot="1" x14ac:dyDescent="0.25">
      <c r="A21" s="497" t="s">
        <v>152</v>
      </c>
      <c r="B21" s="498" t="s">
        <v>345</v>
      </c>
      <c r="C21" s="490">
        <f>'Combustion (Proposed)'!K25</f>
        <v>1.9385391061233144E-6</v>
      </c>
      <c r="D21" s="485">
        <f>'Combustion (Proposed)'!L25</f>
        <v>8.4908012848201169E-6</v>
      </c>
      <c r="E21" s="485">
        <f>'Combustion (Proposed)'!K89</f>
        <v>1.9005285354150145E-7</v>
      </c>
      <c r="F21" s="485">
        <f>'Combustion (Proposed)'!L89</f>
        <v>8.3243149851177633E-7</v>
      </c>
      <c r="G21" s="485">
        <f>'Combustion (Proposed)'!K153</f>
        <v>6.6822583305191901E-7</v>
      </c>
      <c r="H21" s="485">
        <f>'Combustion (Proposed)'!L153</f>
        <v>2.9268291487674054E-6</v>
      </c>
      <c r="I21" s="485">
        <f>'Combustion (Proposed)'!I216</f>
        <v>1.2790971751008894E-6</v>
      </c>
      <c r="J21" s="485">
        <f>'Combustion (Proposed)'!J216</f>
        <v>5.6024456269418965E-6</v>
      </c>
      <c r="K21" s="486">
        <f t="shared" si="0"/>
        <v>4.075914967817624E-6</v>
      </c>
      <c r="L21" s="491">
        <f t="shared" si="1"/>
        <v>1.7852507559041194E-5</v>
      </c>
      <c r="N21" s="502" t="s">
        <v>152</v>
      </c>
      <c r="O21" s="503" t="s">
        <v>345</v>
      </c>
      <c r="P21" s="492">
        <v>1.9385391061233144E-6</v>
      </c>
      <c r="Q21" s="493">
        <v>8.4908012848201169E-6</v>
      </c>
      <c r="R21" s="493">
        <v>1.9005285354150145E-7</v>
      </c>
      <c r="S21" s="493">
        <v>8.3243149851177633E-7</v>
      </c>
      <c r="T21" s="493">
        <v>6.6822583305191901E-7</v>
      </c>
      <c r="U21" s="493">
        <v>2.9268291487674054E-6</v>
      </c>
      <c r="V21" s="493">
        <v>1.2790971751008894E-6</v>
      </c>
      <c r="W21" s="493">
        <v>5.6024456269418965E-6</v>
      </c>
      <c r="X21" s="494">
        <v>4.075914967817624E-6</v>
      </c>
      <c r="Y21" s="495">
        <v>1.7852507559041194E-5</v>
      </c>
    </row>
    <row r="22" spans="1:25" x14ac:dyDescent="0.2">
      <c r="A22" s="497" t="s">
        <v>153</v>
      </c>
      <c r="B22" s="498" t="s">
        <v>346</v>
      </c>
      <c r="C22" s="490">
        <f>'Combustion (Proposed)'!K26</f>
        <v>1.7903450009031438E-6</v>
      </c>
      <c r="D22" s="485">
        <f>'Combustion (Proposed)'!L26</f>
        <v>7.8417111039557708E-6</v>
      </c>
      <c r="E22" s="485">
        <f>'Combustion (Proposed)'!K90</f>
        <v>1.7552401969638668E-7</v>
      </c>
      <c r="F22" s="485">
        <f>'Combustion (Proposed)'!L90</f>
        <v>7.6879520627017368E-7</v>
      </c>
      <c r="G22" s="485">
        <f>'Combustion (Proposed)'!K154</f>
        <v>6.1714245325249548E-7</v>
      </c>
      <c r="H22" s="485">
        <f>'Combustion (Proposed)'!L154</f>
        <v>2.7030839452459302E-6</v>
      </c>
      <c r="I22" s="485">
        <f>'Combustion (Proposed)'!I217</f>
        <v>1.1813149530373918E-6</v>
      </c>
      <c r="J22" s="485">
        <f>'Combustion (Proposed)'!J217</f>
        <v>5.1741594943037758E-6</v>
      </c>
      <c r="K22" s="486">
        <f t="shared" si="0"/>
        <v>3.7643264268894177E-6</v>
      </c>
      <c r="L22" s="491">
        <f t="shared" si="1"/>
        <v>1.6487749749775651E-5</v>
      </c>
      <c r="M22">
        <v>6</v>
      </c>
      <c r="N22" s="512" t="s">
        <v>153</v>
      </c>
      <c r="O22" s="514" t="s">
        <v>346</v>
      </c>
      <c r="P22" s="507">
        <v>1.7903450009031438E-6</v>
      </c>
      <c r="Q22" s="508">
        <v>7.8417111039557708E-6</v>
      </c>
      <c r="R22" s="508">
        <v>1.7552401969638668E-7</v>
      </c>
      <c r="S22" s="508">
        <v>7.6879520627017368E-7</v>
      </c>
      <c r="T22" s="508">
        <v>6.1714245325249548E-7</v>
      </c>
      <c r="U22" s="508">
        <v>2.7030839452459302E-6</v>
      </c>
      <c r="V22" s="508">
        <v>1.1813149530373918E-6</v>
      </c>
      <c r="W22" s="508">
        <v>5.1741594943037758E-6</v>
      </c>
      <c r="X22" s="509">
        <v>3.7643264268894177E-6</v>
      </c>
      <c r="Y22" s="510">
        <v>1.6487749749775651E-5</v>
      </c>
    </row>
    <row r="23" spans="1:25" x14ac:dyDescent="0.2">
      <c r="A23" s="497" t="s">
        <v>154</v>
      </c>
      <c r="B23" s="498" t="s">
        <v>347</v>
      </c>
      <c r="C23" s="490">
        <f>'Combustion (Proposed)'!K27</f>
        <v>1.3217312087204417E-2</v>
      </c>
      <c r="D23" s="485">
        <f>'Combustion (Proposed)'!L27</f>
        <v>5.7891826941955354E-2</v>
      </c>
      <c r="E23" s="485">
        <f>'Combustion (Proposed)'!K91</f>
        <v>1.295814910510237E-3</v>
      </c>
      <c r="F23" s="485">
        <f>'Combustion (Proposed)'!L91</f>
        <v>5.6756693080348385E-3</v>
      </c>
      <c r="G23" s="485">
        <f>'Combustion (Proposed)'!K155</f>
        <v>4.5560852253539929E-3</v>
      </c>
      <c r="H23" s="485">
        <f>'Combustion (Proposed)'!L155</f>
        <v>1.9955653287050488E-2</v>
      </c>
      <c r="I23" s="485">
        <f>'Combustion (Proposed)'!I218</f>
        <v>8.7211171029606092E-3</v>
      </c>
      <c r="J23" s="485">
        <f>'Combustion (Proposed)'!J218</f>
        <v>3.8198492910967469E-2</v>
      </c>
      <c r="K23" s="486">
        <f t="shared" si="0"/>
        <v>2.7790329326029258E-2</v>
      </c>
      <c r="L23" s="491">
        <f t="shared" si="1"/>
        <v>0.12172164244800815</v>
      </c>
      <c r="N23" s="497" t="s">
        <v>154</v>
      </c>
      <c r="O23" s="498" t="s">
        <v>347</v>
      </c>
      <c r="P23" s="490">
        <v>1.3217312087204417E-2</v>
      </c>
      <c r="Q23" s="485">
        <v>5.7891826941955354E-2</v>
      </c>
      <c r="R23" s="485">
        <v>1.295814910510237E-3</v>
      </c>
      <c r="S23" s="485">
        <v>5.6756693080348385E-3</v>
      </c>
      <c r="T23" s="485">
        <v>4.5560852253539929E-3</v>
      </c>
      <c r="U23" s="485">
        <v>1.9955653287050488E-2</v>
      </c>
      <c r="V23" s="485">
        <v>8.7211171029606092E-3</v>
      </c>
      <c r="W23" s="485">
        <v>3.8198492910967469E-2</v>
      </c>
      <c r="X23" s="486">
        <v>2.7790329326029258E-2</v>
      </c>
      <c r="Y23" s="491">
        <v>0.12172164244800815</v>
      </c>
    </row>
    <row r="24" spans="1:25" ht="13.5" thickBot="1" x14ac:dyDescent="0.25">
      <c r="A24" s="497" t="s">
        <v>155</v>
      </c>
      <c r="B24" s="498" t="s">
        <v>348</v>
      </c>
      <c r="C24" s="490">
        <f>'Combustion (Proposed)'!K28</f>
        <v>9.0000000000000011E-2</v>
      </c>
      <c r="D24" s="485">
        <f>'Combustion (Proposed)'!L28</f>
        <v>0.39420000000000005</v>
      </c>
      <c r="E24" s="485">
        <f>'Combustion (Proposed)'!K92</f>
        <v>8.8235294117647058E-3</v>
      </c>
      <c r="F24" s="485">
        <f>'Combustion (Proposed)'!L92</f>
        <v>3.8647058823529416E-2</v>
      </c>
      <c r="G24" s="485">
        <f>'Combustion (Proposed)'!K156</f>
        <v>3.1023529411764703E-2</v>
      </c>
      <c r="H24" s="485">
        <f>'Combustion (Proposed)'!L156</f>
        <v>0.13588305882352941</v>
      </c>
      <c r="I24" s="485">
        <f>'Combustion (Proposed)'!I219</f>
        <v>6.5294117647058836E-2</v>
      </c>
      <c r="J24" s="485">
        <f>'Combustion (Proposed)'!J219</f>
        <v>0.28598823529411771</v>
      </c>
      <c r="K24" s="486">
        <f t="shared" si="0"/>
        <v>0.19514117647058826</v>
      </c>
      <c r="L24" s="491">
        <f t="shared" si="1"/>
        <v>0.8547183529411766</v>
      </c>
      <c r="N24" s="502" t="s">
        <v>155</v>
      </c>
      <c r="O24" s="503" t="s">
        <v>348</v>
      </c>
      <c r="P24" s="492">
        <v>9.0000000000000011E-2</v>
      </c>
      <c r="Q24" s="493">
        <v>0.39420000000000005</v>
      </c>
      <c r="R24" s="493">
        <v>8.8235294117647058E-3</v>
      </c>
      <c r="S24" s="493">
        <v>3.8647058823529416E-2</v>
      </c>
      <c r="T24" s="493">
        <v>3.1023529411764703E-2</v>
      </c>
      <c r="U24" s="493">
        <v>0.13588305882352941</v>
      </c>
      <c r="V24" s="493">
        <v>6.5294117647058836E-2</v>
      </c>
      <c r="W24" s="493">
        <v>0.28598823529411771</v>
      </c>
      <c r="X24" s="494">
        <v>0.19514117647058826</v>
      </c>
      <c r="Y24" s="495">
        <v>0.8547183529411766</v>
      </c>
    </row>
    <row r="25" spans="1:25" x14ac:dyDescent="0.2">
      <c r="A25" s="497" t="s">
        <v>156</v>
      </c>
      <c r="B25" s="498" t="s">
        <v>349</v>
      </c>
      <c r="C25" s="490">
        <f>'Combustion (Proposed)'!K29</f>
        <v>8.5712266262477125E-7</v>
      </c>
      <c r="D25" s="485">
        <f>'Combustion (Proposed)'!L29</f>
        <v>3.7541972622964984E-6</v>
      </c>
      <c r="E25" s="485">
        <f>'Combustion (Proposed)'!K93</f>
        <v>8.4031633590663854E-8</v>
      </c>
      <c r="F25" s="485">
        <f>'Combustion (Proposed)'!L93</f>
        <v>3.680585551271077E-7</v>
      </c>
      <c r="G25" s="485">
        <f>'Combustion (Proposed)'!K157</f>
        <v>2.9545522370477404E-7</v>
      </c>
      <c r="H25" s="485">
        <f>'Combustion (Proposed)'!L157</f>
        <v>1.2940938798269101E-6</v>
      </c>
      <c r="I25" s="485">
        <f>'Combustion (Proposed)'!I220</f>
        <v>5.6555123031320308E-7</v>
      </c>
      <c r="J25" s="485">
        <f>'Combustion (Proposed)'!J220</f>
        <v>2.4771143887718292E-6</v>
      </c>
      <c r="K25" s="486">
        <f t="shared" si="0"/>
        <v>1.8021607502334122E-6</v>
      </c>
      <c r="L25" s="491">
        <f t="shared" si="1"/>
        <v>7.893464086022345E-6</v>
      </c>
      <c r="M25">
        <v>7</v>
      </c>
      <c r="N25" s="512" t="s">
        <v>156</v>
      </c>
      <c r="O25" s="514" t="s">
        <v>349</v>
      </c>
      <c r="P25" s="507">
        <v>8.5712266262477125E-7</v>
      </c>
      <c r="Q25" s="508">
        <v>3.7541972622964984E-6</v>
      </c>
      <c r="R25" s="508">
        <v>8.4031633590663854E-8</v>
      </c>
      <c r="S25" s="508">
        <v>3.680585551271077E-7</v>
      </c>
      <c r="T25" s="508">
        <v>2.9545522370477404E-7</v>
      </c>
      <c r="U25" s="508">
        <v>1.2940938798269101E-6</v>
      </c>
      <c r="V25" s="508">
        <v>5.6555123031320308E-7</v>
      </c>
      <c r="W25" s="508">
        <v>2.4771143887718292E-6</v>
      </c>
      <c r="X25" s="509">
        <v>1.8021607502334122E-6</v>
      </c>
      <c r="Y25" s="510">
        <v>7.893464086022345E-6</v>
      </c>
    </row>
    <row r="26" spans="1:25" x14ac:dyDescent="0.2">
      <c r="A26" s="497" t="s">
        <v>244</v>
      </c>
      <c r="B26" s="498" t="s">
        <v>350</v>
      </c>
      <c r="C26" s="490">
        <f>'Combustion (Proposed)'!K30</f>
        <v>1.2000000000000002E-6</v>
      </c>
      <c r="D26" s="485">
        <f>'Combustion (Proposed)'!L30</f>
        <v>5.256000000000001E-6</v>
      </c>
      <c r="E26" s="485">
        <f>'Combustion (Proposed)'!K94</f>
        <v>1.1764705882352942E-7</v>
      </c>
      <c r="F26" s="485">
        <f>'Combustion (Proposed)'!L94</f>
        <v>5.1529411764705885E-7</v>
      </c>
      <c r="G26" s="485">
        <f>'Combustion (Proposed)'!K158</f>
        <v>4.1364705882352939E-7</v>
      </c>
      <c r="H26" s="485">
        <f>'Combustion (Proposed)'!L158</f>
        <v>1.8117741176470586E-6</v>
      </c>
      <c r="I26" s="485">
        <f>'Combustion (Proposed)'!I221</f>
        <v>8.7058823529411776E-7</v>
      </c>
      <c r="J26" s="485">
        <f>'Combustion (Proposed)'!J221</f>
        <v>3.8131764705882358E-6</v>
      </c>
      <c r="K26" s="486">
        <f t="shared" si="0"/>
        <v>2.6018823529411768E-6</v>
      </c>
      <c r="L26" s="491">
        <f t="shared" si="1"/>
        <v>1.1396244705882355E-5</v>
      </c>
      <c r="N26" s="497" t="s">
        <v>244</v>
      </c>
      <c r="O26" s="498" t="s">
        <v>350</v>
      </c>
      <c r="P26" s="490">
        <v>1.2000000000000002E-6</v>
      </c>
      <c r="Q26" s="485">
        <v>5.256000000000001E-6</v>
      </c>
      <c r="R26" s="485">
        <v>1.1764705882352942E-7</v>
      </c>
      <c r="S26" s="485">
        <v>5.1529411764705885E-7</v>
      </c>
      <c r="T26" s="485">
        <v>4.1364705882352939E-7</v>
      </c>
      <c r="U26" s="485">
        <v>1.8117741176470586E-6</v>
      </c>
      <c r="V26" s="485">
        <v>8.7058823529411776E-7</v>
      </c>
      <c r="W26" s="485">
        <v>3.8131764705882358E-6</v>
      </c>
      <c r="X26" s="486">
        <v>2.6018823529411768E-6</v>
      </c>
      <c r="Y26" s="491">
        <v>1.1396244705882355E-5</v>
      </c>
    </row>
    <row r="27" spans="1:25" ht="13.5" thickBot="1" x14ac:dyDescent="0.25">
      <c r="A27" s="497" t="s">
        <v>245</v>
      </c>
      <c r="B27" s="498" t="s">
        <v>351</v>
      </c>
      <c r="C27" s="490">
        <f>'Combustion (Proposed)'!K31</f>
        <v>8.9999999999999999E-8</v>
      </c>
      <c r="D27" s="485">
        <f>'Combustion (Proposed)'!L31</f>
        <v>3.9419999999999997E-7</v>
      </c>
      <c r="E27" s="485">
        <f>'Combustion (Proposed)'!K95</f>
        <v>8.823529411764706E-9</v>
      </c>
      <c r="F27" s="485">
        <f>'Combustion (Proposed)'!L95</f>
        <v>3.8647058823529411E-8</v>
      </c>
      <c r="G27" s="485">
        <f>'Combustion (Proposed)'!K159</f>
        <v>3.1023529411764698E-8</v>
      </c>
      <c r="H27" s="485">
        <f>'Combustion (Proposed)'!L159</f>
        <v>1.3588305882352937E-7</v>
      </c>
      <c r="I27" s="485">
        <f>'Combustion (Proposed)'!I222</f>
        <v>6.5294117647058821E-8</v>
      </c>
      <c r="J27" s="485">
        <f>'Combustion (Proposed)'!J222</f>
        <v>2.8598823529411762E-7</v>
      </c>
      <c r="K27" s="486">
        <f t="shared" si="0"/>
        <v>1.9514117647058823E-7</v>
      </c>
      <c r="L27" s="491">
        <f t="shared" si="1"/>
        <v>8.5471835294117634E-7</v>
      </c>
      <c r="N27" s="502" t="s">
        <v>245</v>
      </c>
      <c r="O27" s="503" t="s">
        <v>351</v>
      </c>
      <c r="P27" s="492">
        <v>8.9999999999999999E-8</v>
      </c>
      <c r="Q27" s="493">
        <v>3.9419999999999997E-7</v>
      </c>
      <c r="R27" s="493">
        <v>8.823529411764706E-9</v>
      </c>
      <c r="S27" s="493">
        <v>3.8647058823529411E-8</v>
      </c>
      <c r="T27" s="493">
        <v>3.1023529411764698E-8</v>
      </c>
      <c r="U27" s="493">
        <v>1.3588305882352937E-7</v>
      </c>
      <c r="V27" s="493">
        <v>6.5294117647058821E-8</v>
      </c>
      <c r="W27" s="493">
        <v>2.8598823529411762E-7</v>
      </c>
      <c r="X27" s="494">
        <v>1.9514117647058823E-7</v>
      </c>
      <c r="Y27" s="495">
        <v>8.5471835294117634E-7</v>
      </c>
    </row>
    <row r="28" spans="1:25" x14ac:dyDescent="0.2">
      <c r="A28" s="497" t="s">
        <v>157</v>
      </c>
      <c r="B28" s="498" t="s">
        <v>352</v>
      </c>
      <c r="C28" s="490">
        <f>'Combustion (Proposed)'!K32</f>
        <v>4.5259280783457547E-4</v>
      </c>
      <c r="D28" s="485">
        <f>'Combustion (Proposed)'!L32</f>
        <v>1.9823564983154403E-3</v>
      </c>
      <c r="E28" s="485">
        <f>'Combustion (Proposed)'!K96</f>
        <v>4.4371843905350541E-5</v>
      </c>
      <c r="F28" s="485">
        <f>'Combustion (Proposed)'!L96</f>
        <v>1.9434867630543538E-4</v>
      </c>
      <c r="G28" s="485">
        <f>'Combustion (Proposed)'!K160</f>
        <v>1.5601140317121246E-4</v>
      </c>
      <c r="H28" s="485">
        <f>'Combustion (Proposed)'!L160</f>
        <v>6.8332994588991055E-4</v>
      </c>
      <c r="I28" s="485">
        <f>'Combustion (Proposed)'!I223</f>
        <v>2.98632191707439E-4</v>
      </c>
      <c r="J28" s="485">
        <f>'Combustion (Proposed)'!J223</f>
        <v>1.3080089996785828E-3</v>
      </c>
      <c r="K28" s="486">
        <f t="shared" si="0"/>
        <v>9.5160824661857761E-4</v>
      </c>
      <c r="L28" s="491">
        <f t="shared" si="1"/>
        <v>4.168044120189369E-3</v>
      </c>
      <c r="M28">
        <v>8</v>
      </c>
      <c r="N28" s="512" t="s">
        <v>157</v>
      </c>
      <c r="O28" s="514" t="s">
        <v>352</v>
      </c>
      <c r="P28" s="507">
        <v>4.5259280783457547E-4</v>
      </c>
      <c r="Q28" s="508">
        <v>1.9823564983154403E-3</v>
      </c>
      <c r="R28" s="508">
        <v>4.4371843905350541E-5</v>
      </c>
      <c r="S28" s="508">
        <v>1.9434867630543538E-4</v>
      </c>
      <c r="T28" s="508">
        <v>1.5601140317121246E-4</v>
      </c>
      <c r="U28" s="508">
        <v>6.8332994588991055E-4</v>
      </c>
      <c r="V28" s="508">
        <v>2.98632191707439E-4</v>
      </c>
      <c r="W28" s="508">
        <v>1.3080089996785828E-3</v>
      </c>
      <c r="X28" s="509">
        <v>9.5160824661857761E-4</v>
      </c>
      <c r="Y28" s="510">
        <v>4.168044120189369E-3</v>
      </c>
    </row>
    <row r="29" spans="1:25" x14ac:dyDescent="0.2">
      <c r="A29" s="497" t="s">
        <v>158</v>
      </c>
      <c r="B29" s="498" t="s">
        <v>353</v>
      </c>
      <c r="C29" s="490">
        <f>'Combustion (Proposed)'!K33</f>
        <v>4.2055083913832234E-6</v>
      </c>
      <c r="D29" s="485">
        <f>'Combustion (Proposed)'!L33</f>
        <v>1.8420126754258517E-5</v>
      </c>
      <c r="E29" s="485">
        <f>'Combustion (Proposed)'!K97</f>
        <v>4.123047442532572E-7</v>
      </c>
      <c r="F29" s="485">
        <f>'Combustion (Proposed)'!L97</f>
        <v>1.8058947798292664E-6</v>
      </c>
      <c r="G29" s="485">
        <f>'Combustion (Proposed)'!K161</f>
        <v>1.4496634807944523E-6</v>
      </c>
      <c r="H29" s="485">
        <f>'Combustion (Proposed)'!L161</f>
        <v>6.3495260458797008E-6</v>
      </c>
      <c r="I29" s="485">
        <f>'Combustion (Proposed)'!I224</f>
        <v>2.7749008963965573E-6</v>
      </c>
      <c r="J29" s="485">
        <f>'Combustion (Proposed)'!J224</f>
        <v>1.2154065926216921E-5</v>
      </c>
      <c r="K29" s="486">
        <f t="shared" si="0"/>
        <v>8.842377512827491E-6</v>
      </c>
      <c r="L29" s="491">
        <f t="shared" si="1"/>
        <v>3.8729613506184407E-5</v>
      </c>
      <c r="N29" s="497" t="s">
        <v>158</v>
      </c>
      <c r="O29" s="498" t="s">
        <v>353</v>
      </c>
      <c r="P29" s="490">
        <v>4.2055083913832234E-6</v>
      </c>
      <c r="Q29" s="485">
        <v>1.8420126754258517E-5</v>
      </c>
      <c r="R29" s="485">
        <v>4.123047442532572E-7</v>
      </c>
      <c r="S29" s="485">
        <v>1.8058947798292664E-6</v>
      </c>
      <c r="T29" s="485">
        <v>1.4496634807944523E-6</v>
      </c>
      <c r="U29" s="485">
        <v>6.3495260458797008E-6</v>
      </c>
      <c r="V29" s="485">
        <v>2.7749008963965573E-6</v>
      </c>
      <c r="W29" s="485">
        <v>1.2154065926216921E-5</v>
      </c>
      <c r="X29" s="486">
        <v>8.842377512827491E-6</v>
      </c>
      <c r="Y29" s="491">
        <v>3.8729613506184407E-5</v>
      </c>
    </row>
    <row r="30" spans="1:25" ht="12.75" hidden="1" customHeight="1" x14ac:dyDescent="0.2">
      <c r="A30" s="497" t="s">
        <v>284</v>
      </c>
      <c r="B30" s="498"/>
      <c r="C30" s="490">
        <f>'Combustion (Proposed)'!K34</f>
        <v>0</v>
      </c>
      <c r="D30" s="485">
        <f>'Combustion (Proposed)'!L34</f>
        <v>0</v>
      </c>
      <c r="E30" s="485">
        <f>'Combustion (Proposed)'!K98</f>
        <v>0</v>
      </c>
      <c r="F30" s="485">
        <f>'Combustion (Proposed)'!L98</f>
        <v>0</v>
      </c>
      <c r="G30" s="485">
        <f>'Combustion (Proposed)'!K162</f>
        <v>0</v>
      </c>
      <c r="H30" s="485">
        <f>'Combustion (Proposed)'!L162</f>
        <v>0</v>
      </c>
      <c r="I30" s="485">
        <f>'Combustion (Proposed)'!I225</f>
        <v>0</v>
      </c>
      <c r="J30" s="485">
        <f>'Combustion (Proposed)'!J225</f>
        <v>0</v>
      </c>
      <c r="K30" s="486">
        <f t="shared" si="0"/>
        <v>0</v>
      </c>
      <c r="L30" s="491">
        <f t="shared" si="1"/>
        <v>0</v>
      </c>
      <c r="N30" s="497" t="s">
        <v>284</v>
      </c>
      <c r="O30" s="498"/>
      <c r="P30" s="490">
        <v>0</v>
      </c>
      <c r="Q30" s="485">
        <v>0</v>
      </c>
      <c r="R30" s="485">
        <v>0</v>
      </c>
      <c r="S30" s="485">
        <v>0</v>
      </c>
      <c r="T30" s="485">
        <v>0</v>
      </c>
      <c r="U30" s="485">
        <v>0</v>
      </c>
      <c r="V30" s="485">
        <v>0</v>
      </c>
      <c r="W30" s="485">
        <v>0</v>
      </c>
      <c r="X30" s="486">
        <v>0</v>
      </c>
      <c r="Y30" s="491">
        <v>0</v>
      </c>
    </row>
    <row r="31" spans="1:25" ht="13.5" thickBot="1" x14ac:dyDescent="0.25">
      <c r="A31" s="497" t="s">
        <v>159</v>
      </c>
      <c r="B31" s="498" t="s">
        <v>354</v>
      </c>
      <c r="C31" s="490">
        <f>'Combustion (Proposed)'!K35</f>
        <v>1.7022295869884476E-6</v>
      </c>
      <c r="D31" s="485">
        <f>'Combustion (Proposed)'!L35</f>
        <v>7.4557655910094004E-6</v>
      </c>
      <c r="E31" s="485">
        <f>'Combustion (Proposed)'!K99</f>
        <v>1.6688525362631842E-7</v>
      </c>
      <c r="F31" s="485">
        <f>'Combustion (Proposed)'!L99</f>
        <v>7.3095741088327458E-7</v>
      </c>
      <c r="G31" s="485">
        <f>'Combustion (Proposed)'!K163</f>
        <v>5.8676855175013544E-7</v>
      </c>
      <c r="H31" s="485">
        <f>'Combustion (Proposed)'!L163</f>
        <v>2.570046256665593E-6</v>
      </c>
      <c r="I31" s="485">
        <f>'Combustion (Proposed)'!I226</f>
        <v>1.1231741723509876E-6</v>
      </c>
      <c r="J31" s="485">
        <f>'Combustion (Proposed)'!J226</f>
        <v>4.9195028748973257E-6</v>
      </c>
      <c r="K31" s="486">
        <f t="shared" si="0"/>
        <v>3.5790575647158889E-6</v>
      </c>
      <c r="L31" s="491">
        <f t="shared" si="1"/>
        <v>1.5676272133455592E-5</v>
      </c>
      <c r="N31" s="502" t="s">
        <v>159</v>
      </c>
      <c r="O31" s="503" t="s">
        <v>354</v>
      </c>
      <c r="P31" s="492">
        <v>1.7022295869884476E-6</v>
      </c>
      <c r="Q31" s="493">
        <v>7.4557655910094004E-6</v>
      </c>
      <c r="R31" s="493">
        <v>1.6688525362631842E-7</v>
      </c>
      <c r="S31" s="493">
        <v>7.3095741088327458E-7</v>
      </c>
      <c r="T31" s="493">
        <v>5.8676855175013544E-7</v>
      </c>
      <c r="U31" s="493">
        <v>2.570046256665593E-6</v>
      </c>
      <c r="V31" s="493">
        <v>1.1231741723509876E-6</v>
      </c>
      <c r="W31" s="493">
        <v>4.9195028748973257E-6</v>
      </c>
      <c r="X31" s="494">
        <v>3.5790575647158889E-6</v>
      </c>
      <c r="Y31" s="495">
        <v>1.5676272133455592E-5</v>
      </c>
    </row>
    <row r="32" spans="1:25" x14ac:dyDescent="0.2">
      <c r="A32" s="497" t="s">
        <v>160</v>
      </c>
      <c r="B32" s="498" t="s">
        <v>355</v>
      </c>
      <c r="C32" s="490">
        <f>'Combustion (Proposed)'!K36</f>
        <v>2.4832525739596177E-3</v>
      </c>
      <c r="D32" s="485">
        <f>'Combustion (Proposed)'!L36</f>
        <v>1.0876646273943125E-2</v>
      </c>
      <c r="E32" s="485">
        <f>'Combustion (Proposed)'!K100</f>
        <v>2.434561347019233E-4</v>
      </c>
      <c r="F32" s="485">
        <f>'Combustion (Proposed)'!L100</f>
        <v>1.066337869994424E-3</v>
      </c>
      <c r="G32" s="485">
        <f>'Combustion (Proposed)'!K164</f>
        <v>8.5599176961196222E-4</v>
      </c>
      <c r="H32" s="485">
        <f>'Combustion (Proposed)'!L164</f>
        <v>3.7492439509003946E-3</v>
      </c>
      <c r="I32" s="485">
        <f>'Combustion (Proposed)'!I227</f>
        <v>1.6385129102532052E-3</v>
      </c>
      <c r="J32" s="485">
        <f>'Combustion (Proposed)'!J227</f>
        <v>7.1766865469090387E-3</v>
      </c>
      <c r="K32" s="486">
        <f t="shared" si="0"/>
        <v>5.2212133885267079E-3</v>
      </c>
      <c r="L32" s="491">
        <f t="shared" si="1"/>
        <v>2.2868914641746986E-2</v>
      </c>
      <c r="M32">
        <v>9</v>
      </c>
      <c r="N32" s="512" t="s">
        <v>160</v>
      </c>
      <c r="O32" s="514" t="s">
        <v>355</v>
      </c>
      <c r="P32" s="507">
        <v>2.4832525739596177E-3</v>
      </c>
      <c r="Q32" s="508">
        <v>1.0876646273943125E-2</v>
      </c>
      <c r="R32" s="508">
        <v>2.434561347019233E-4</v>
      </c>
      <c r="S32" s="508">
        <v>1.066337869994424E-3</v>
      </c>
      <c r="T32" s="508">
        <v>8.5599176961196222E-4</v>
      </c>
      <c r="U32" s="508">
        <v>3.7492439509003946E-3</v>
      </c>
      <c r="V32" s="508">
        <v>1.6385129102532052E-3</v>
      </c>
      <c r="W32" s="508">
        <v>7.1766865469090387E-3</v>
      </c>
      <c r="X32" s="509">
        <v>5.2212133885267079E-3</v>
      </c>
      <c r="Y32" s="510">
        <v>2.2868914641746986E-2</v>
      </c>
    </row>
    <row r="33" spans="1:25" x14ac:dyDescent="0.2">
      <c r="A33" s="501" t="s">
        <v>282</v>
      </c>
      <c r="B33" s="498" t="s">
        <v>368</v>
      </c>
      <c r="C33" s="490">
        <f>'Combustion (Proposed)'!K37</f>
        <v>9.4523807653946736E-5</v>
      </c>
      <c r="D33" s="485">
        <f>'Combustion (Proposed)'!L37</f>
        <v>4.1401427752428674E-4</v>
      </c>
      <c r="E33" s="485">
        <f>'Combustion (Proposed)'!K101</f>
        <v>9.2670399660732106E-6</v>
      </c>
      <c r="F33" s="485">
        <f>'Combustion (Proposed)'!L101</f>
        <v>4.058963505140066E-5</v>
      </c>
      <c r="G33" s="485">
        <f>'Combustion (Proposed)'!K165</f>
        <v>3.2582912520713398E-5</v>
      </c>
      <c r="H33" s="485">
        <f>'Combustion (Proposed)'!L165</f>
        <v>1.4271315684072469E-4</v>
      </c>
      <c r="I33" s="485">
        <f>'Combustion (Proposed)'!I228</f>
        <v>6.2369201099960711E-5</v>
      </c>
      <c r="J33" s="485">
        <f>'Combustion (Proposed)'!J228</f>
        <v>2.7317710081782793E-4</v>
      </c>
      <c r="K33" s="486">
        <f t="shared" si="0"/>
        <v>1.9874296124069405E-4</v>
      </c>
      <c r="L33" s="491">
        <f t="shared" si="1"/>
        <v>8.7049417023423998E-4</v>
      </c>
      <c r="N33" s="501" t="s">
        <v>282</v>
      </c>
      <c r="O33" s="498" t="s">
        <v>368</v>
      </c>
      <c r="P33" s="490">
        <v>9.4523807653946736E-5</v>
      </c>
      <c r="Q33" s="485">
        <v>4.1401427752428674E-4</v>
      </c>
      <c r="R33" s="485">
        <v>9.2670399660732106E-6</v>
      </c>
      <c r="S33" s="485">
        <v>4.058963505140066E-5</v>
      </c>
      <c r="T33" s="485">
        <v>3.2582912520713398E-5</v>
      </c>
      <c r="U33" s="485">
        <v>1.4271315684072469E-4</v>
      </c>
      <c r="V33" s="485">
        <v>6.2369201099960711E-5</v>
      </c>
      <c r="W33" s="485">
        <v>2.7317710081782793E-4</v>
      </c>
      <c r="X33" s="486">
        <v>1.9874296124069405E-4</v>
      </c>
      <c r="Y33" s="491">
        <v>8.7049417023423998E-4</v>
      </c>
    </row>
    <row r="34" spans="1:25" ht="13.5" thickBot="1" x14ac:dyDescent="0.25">
      <c r="A34" s="497" t="s">
        <v>161</v>
      </c>
      <c r="B34" s="498" t="s">
        <v>366</v>
      </c>
      <c r="C34" s="490">
        <f>'Combustion (Proposed)'!K38</f>
        <v>4.3657182348644897E-5</v>
      </c>
      <c r="D34" s="485">
        <f>'Combustion (Proposed)'!L38</f>
        <v>1.9121845868706467E-4</v>
      </c>
      <c r="E34" s="485">
        <f>'Combustion (Proposed)'!K102</f>
        <v>4.2801159165338133E-6</v>
      </c>
      <c r="F34" s="485">
        <f>'Combustion (Proposed)'!L102</f>
        <v>1.8746907714418102E-5</v>
      </c>
      <c r="G34" s="485">
        <f>'Combustion (Proposed)'!K166</f>
        <v>1.5048887562532887E-5</v>
      </c>
      <c r="H34" s="485">
        <f>'Combustion (Proposed)'!L166</f>
        <v>6.5914127523894039E-5</v>
      </c>
      <c r="I34" s="485">
        <f>'Combustion (Proposed)'!I229</f>
        <v>2.8806114067354742E-5</v>
      </c>
      <c r="J34" s="485">
        <f>'Combustion (Proposed)'!J229</f>
        <v>1.2617077961501376E-4</v>
      </c>
      <c r="K34" s="486">
        <f t="shared" si="0"/>
        <v>9.1792299895066345E-5</v>
      </c>
      <c r="L34" s="491">
        <f t="shared" si="1"/>
        <v>4.0205027354039058E-4</v>
      </c>
      <c r="N34" s="502" t="s">
        <v>161</v>
      </c>
      <c r="O34" s="503" t="s">
        <v>366</v>
      </c>
      <c r="P34" s="492">
        <v>4.3657182348644897E-5</v>
      </c>
      <c r="Q34" s="493">
        <v>1.9121845868706467E-4</v>
      </c>
      <c r="R34" s="493">
        <v>4.2801159165338133E-6</v>
      </c>
      <c r="S34" s="493">
        <v>1.8746907714418102E-5</v>
      </c>
      <c r="T34" s="493">
        <v>1.5048887562532887E-5</v>
      </c>
      <c r="U34" s="493">
        <v>6.5914127523894039E-5</v>
      </c>
      <c r="V34" s="493">
        <v>2.8806114067354742E-5</v>
      </c>
      <c r="W34" s="493">
        <v>1.2617077961501376E-4</v>
      </c>
      <c r="X34" s="494">
        <v>9.1792299895066345E-5</v>
      </c>
      <c r="Y34" s="495">
        <v>4.0205027354039058E-4</v>
      </c>
    </row>
    <row r="35" spans="1:25" x14ac:dyDescent="0.2">
      <c r="A35" s="497" t="s">
        <v>162</v>
      </c>
      <c r="B35" s="498" t="s">
        <v>367</v>
      </c>
      <c r="C35" s="490">
        <f>'Combustion (Proposed)'!K39</f>
        <v>2.6250000000000004E-4</v>
      </c>
      <c r="D35" s="485">
        <f>'Combustion (Proposed)'!L39</f>
        <v>1.1497500000000002E-3</v>
      </c>
      <c r="E35" s="485">
        <f>'Combustion (Proposed)'!K103</f>
        <v>2.573529411764706E-5</v>
      </c>
      <c r="F35" s="485">
        <f>'Combustion (Proposed)'!L103</f>
        <v>1.1272058823529412E-4</v>
      </c>
      <c r="G35" s="485">
        <f>'Combustion (Proposed)'!K167</f>
        <v>9.0485294117647052E-5</v>
      </c>
      <c r="H35" s="485">
        <f>'Combustion (Proposed)'!L167</f>
        <v>3.9632558823529408E-4</v>
      </c>
      <c r="I35" s="485">
        <f>'Combustion (Proposed)'!I230</f>
        <v>1.9044117647058827E-4</v>
      </c>
      <c r="J35" s="485">
        <f>'Combustion (Proposed)'!J230</f>
        <v>8.3413235294117663E-4</v>
      </c>
      <c r="K35" s="486">
        <f t="shared" si="0"/>
        <v>5.6916176470588249E-4</v>
      </c>
      <c r="L35" s="491">
        <f t="shared" si="1"/>
        <v>2.492928529411765E-3</v>
      </c>
      <c r="M35">
        <v>10</v>
      </c>
      <c r="N35" s="512" t="s">
        <v>162</v>
      </c>
      <c r="O35" s="514" t="s">
        <v>367</v>
      </c>
      <c r="P35" s="507">
        <v>2.6250000000000004E-4</v>
      </c>
      <c r="Q35" s="508">
        <v>1.1497500000000002E-3</v>
      </c>
      <c r="R35" s="508">
        <v>2.573529411764706E-5</v>
      </c>
      <c r="S35" s="508">
        <v>1.1272058823529412E-4</v>
      </c>
      <c r="T35" s="508">
        <v>9.0485294117647052E-5</v>
      </c>
      <c r="U35" s="508">
        <v>3.9632558823529408E-4</v>
      </c>
      <c r="V35" s="508">
        <v>1.9044117647058827E-4</v>
      </c>
      <c r="W35" s="508">
        <v>8.3413235294117663E-4</v>
      </c>
      <c r="X35" s="509">
        <v>5.6916176470588249E-4</v>
      </c>
      <c r="Y35" s="510">
        <v>2.492928529411765E-3</v>
      </c>
    </row>
    <row r="36" spans="1:25" x14ac:dyDescent="0.2">
      <c r="A36" s="497" t="s">
        <v>163</v>
      </c>
      <c r="B36" s="498" t="s">
        <v>356</v>
      </c>
      <c r="C36" s="490">
        <f>'Combustion (Proposed)'!K40</f>
        <v>1.0000000000000001E-5</v>
      </c>
      <c r="D36" s="485">
        <f>'Combustion (Proposed)'!L40</f>
        <v>4.3800000000000008E-5</v>
      </c>
      <c r="E36" s="485">
        <f>'Combustion (Proposed)'!K104</f>
        <v>9.8039215686274508E-7</v>
      </c>
      <c r="F36" s="485">
        <f>'Combustion (Proposed)'!L104</f>
        <v>4.2941176470588233E-6</v>
      </c>
      <c r="G36" s="485">
        <f>'Combustion (Proposed)'!K168</f>
        <v>3.4470588235294115E-6</v>
      </c>
      <c r="H36" s="485">
        <f>'Combustion (Proposed)'!L168</f>
        <v>1.5098117647058823E-5</v>
      </c>
      <c r="I36" s="485">
        <f>'Combustion (Proposed)'!I231</f>
        <v>7.2549019607843145E-6</v>
      </c>
      <c r="J36" s="485">
        <f>'Combustion (Proposed)'!J231</f>
        <v>3.1776470588235292E-5</v>
      </c>
      <c r="K36" s="486">
        <f t="shared" si="0"/>
        <v>2.1682352941176471E-5</v>
      </c>
      <c r="L36" s="491">
        <f t="shared" si="1"/>
        <v>9.4968705882352952E-5</v>
      </c>
      <c r="N36" s="497" t="s">
        <v>163</v>
      </c>
      <c r="O36" s="498" t="s">
        <v>356</v>
      </c>
      <c r="P36" s="490">
        <v>1.0000000000000001E-5</v>
      </c>
      <c r="Q36" s="485">
        <v>4.3800000000000008E-5</v>
      </c>
      <c r="R36" s="485">
        <v>9.8039215686274508E-7</v>
      </c>
      <c r="S36" s="485">
        <v>4.2941176470588233E-6</v>
      </c>
      <c r="T36" s="485">
        <v>3.4470588235294115E-6</v>
      </c>
      <c r="U36" s="485">
        <v>1.5098117647058823E-5</v>
      </c>
      <c r="V36" s="485">
        <v>7.2549019607843145E-6</v>
      </c>
      <c r="W36" s="485">
        <v>3.1776470588235292E-5</v>
      </c>
      <c r="X36" s="486">
        <v>2.1682352941176471E-5</v>
      </c>
      <c r="Y36" s="491">
        <v>9.4968705882352952E-5</v>
      </c>
    </row>
    <row r="37" spans="1:25" ht="13.5" thickBot="1" x14ac:dyDescent="0.25">
      <c r="A37" s="497" t="s">
        <v>164</v>
      </c>
      <c r="B37" s="498" t="s">
        <v>357</v>
      </c>
      <c r="C37" s="490">
        <f>'Combustion (Proposed)'!K41</f>
        <v>6.0000000000000008E-7</v>
      </c>
      <c r="D37" s="485">
        <f>'Combustion (Proposed)'!L41</f>
        <v>2.6280000000000005E-6</v>
      </c>
      <c r="E37" s="485">
        <f>'Combustion (Proposed)'!K105</f>
        <v>5.8823529411764709E-8</v>
      </c>
      <c r="F37" s="485">
        <f>'Combustion (Proposed)'!L105</f>
        <v>2.5764705882352943E-7</v>
      </c>
      <c r="G37" s="485">
        <f>'Combustion (Proposed)'!K169</f>
        <v>2.068235294117647E-7</v>
      </c>
      <c r="H37" s="485">
        <f>'Combustion (Proposed)'!L169</f>
        <v>9.0588705882352931E-7</v>
      </c>
      <c r="I37" s="485">
        <f>'Combustion (Proposed)'!I232</f>
        <v>4.3529411764705888E-7</v>
      </c>
      <c r="J37" s="485">
        <f>'Combustion (Proposed)'!J232</f>
        <v>1.9065882352941179E-6</v>
      </c>
      <c r="K37" s="486">
        <f t="shared" si="0"/>
        <v>1.3009411764705884E-6</v>
      </c>
      <c r="L37" s="491">
        <f t="shared" si="1"/>
        <v>5.6981223529411776E-6</v>
      </c>
      <c r="N37" s="502" t="s">
        <v>164</v>
      </c>
      <c r="O37" s="503" t="s">
        <v>357</v>
      </c>
      <c r="P37" s="492">
        <v>6.0000000000000008E-7</v>
      </c>
      <c r="Q37" s="493">
        <v>2.6280000000000005E-6</v>
      </c>
      <c r="R37" s="493">
        <v>5.8823529411764709E-8</v>
      </c>
      <c r="S37" s="493">
        <v>2.5764705882352943E-7</v>
      </c>
      <c r="T37" s="493">
        <v>2.068235294117647E-7</v>
      </c>
      <c r="U37" s="493">
        <v>9.0588705882352931E-7</v>
      </c>
      <c r="V37" s="493">
        <v>4.3529411764705888E-7</v>
      </c>
      <c r="W37" s="493">
        <v>1.9065882352941179E-6</v>
      </c>
      <c r="X37" s="494">
        <v>1.3009411764705884E-6</v>
      </c>
      <c r="Y37" s="495">
        <v>5.6981223529411776E-6</v>
      </c>
    </row>
    <row r="38" spans="1:25" x14ac:dyDescent="0.2">
      <c r="A38" s="497" t="s">
        <v>165</v>
      </c>
      <c r="B38" s="498" t="s">
        <v>358</v>
      </c>
      <c r="C38" s="490">
        <f>'Combustion (Proposed)'!K42</f>
        <v>5.5000000000000009E-5</v>
      </c>
      <c r="D38" s="485">
        <f>'Combustion (Proposed)'!L42</f>
        <v>2.4090000000000003E-4</v>
      </c>
      <c r="E38" s="485">
        <f>'Combustion (Proposed)'!K106</f>
        <v>5.3921568627450987E-6</v>
      </c>
      <c r="F38" s="485">
        <f>'Combustion (Proposed)'!L106</f>
        <v>2.3617647058823532E-5</v>
      </c>
      <c r="G38" s="485">
        <f>'Combustion (Proposed)'!K170</f>
        <v>1.8958823529411765E-5</v>
      </c>
      <c r="H38" s="485">
        <f>'Combustion (Proposed)'!L170</f>
        <v>8.3039647058823544E-5</v>
      </c>
      <c r="I38" s="485">
        <f>'Combustion (Proposed)'!I233</f>
        <v>3.9901960784313731E-5</v>
      </c>
      <c r="J38" s="485">
        <f>'Combustion (Proposed)'!J233</f>
        <v>1.7477058823529414E-4</v>
      </c>
      <c r="K38" s="486">
        <f t="shared" si="0"/>
        <v>1.1925294117647061E-4</v>
      </c>
      <c r="L38" s="491">
        <f t="shared" si="1"/>
        <v>5.223278823529412E-4</v>
      </c>
      <c r="M38">
        <v>11</v>
      </c>
      <c r="N38" s="512" t="s">
        <v>165</v>
      </c>
      <c r="O38" s="514" t="s">
        <v>358</v>
      </c>
      <c r="P38" s="507">
        <v>5.5000000000000009E-5</v>
      </c>
      <c r="Q38" s="508">
        <v>2.4090000000000003E-4</v>
      </c>
      <c r="R38" s="508">
        <v>5.3921568627450987E-6</v>
      </c>
      <c r="S38" s="508">
        <v>2.3617647058823532E-5</v>
      </c>
      <c r="T38" s="508">
        <v>1.8958823529411765E-5</v>
      </c>
      <c r="U38" s="508">
        <v>8.3039647058823544E-5</v>
      </c>
      <c r="V38" s="508">
        <v>3.9901960784313731E-5</v>
      </c>
      <c r="W38" s="508">
        <v>1.7477058823529414E-4</v>
      </c>
      <c r="X38" s="509">
        <v>1.1925294117647061E-4</v>
      </c>
      <c r="Y38" s="510">
        <v>5.223278823529412E-4</v>
      </c>
    </row>
    <row r="39" spans="1:25" x14ac:dyDescent="0.2">
      <c r="A39" s="497" t="s">
        <v>166</v>
      </c>
      <c r="B39" s="498" t="s">
        <v>359</v>
      </c>
      <c r="C39" s="490">
        <f>'Combustion (Proposed)'!K43</f>
        <v>7.0000000000000007E-5</v>
      </c>
      <c r="D39" s="485">
        <f>'Combustion (Proposed)'!L43</f>
        <v>3.0660000000000003E-4</v>
      </c>
      <c r="E39" s="485">
        <f>'Combustion (Proposed)'!K107</f>
        <v>6.8627450980392154E-6</v>
      </c>
      <c r="F39" s="485">
        <f>'Combustion (Proposed)'!L107</f>
        <v>3.0058823529411764E-5</v>
      </c>
      <c r="G39" s="485">
        <f>'Combustion (Proposed)'!K171</f>
        <v>2.4129411764705878E-5</v>
      </c>
      <c r="H39" s="485">
        <f>'Combustion (Proposed)'!L171</f>
        <v>1.0568682352941176E-4</v>
      </c>
      <c r="I39" s="485">
        <f>'Combustion (Proposed)'!I234</f>
        <v>5.0784313725490201E-5</v>
      </c>
      <c r="J39" s="485">
        <f>'Combustion (Proposed)'!J234</f>
        <v>2.2243529411764709E-4</v>
      </c>
      <c r="K39" s="486">
        <f t="shared" si="0"/>
        <v>1.5177647058823532E-4</v>
      </c>
      <c r="L39" s="491">
        <f t="shared" si="1"/>
        <v>6.6478094117647065E-4</v>
      </c>
      <c r="N39" s="497" t="s">
        <v>166</v>
      </c>
      <c r="O39" s="498" t="s">
        <v>359</v>
      </c>
      <c r="P39" s="490">
        <v>7.0000000000000007E-5</v>
      </c>
      <c r="Q39" s="485">
        <v>3.0660000000000003E-4</v>
      </c>
      <c r="R39" s="485">
        <v>6.8627450980392154E-6</v>
      </c>
      <c r="S39" s="485">
        <v>3.0058823529411764E-5</v>
      </c>
      <c r="T39" s="485">
        <v>2.4129411764705878E-5</v>
      </c>
      <c r="U39" s="485">
        <v>1.0568682352941176E-4</v>
      </c>
      <c r="V39" s="485">
        <v>5.0784313725490201E-5</v>
      </c>
      <c r="W39" s="485">
        <v>2.2243529411764709E-4</v>
      </c>
      <c r="X39" s="486">
        <v>1.5177647058823532E-4</v>
      </c>
      <c r="Y39" s="491">
        <v>6.6478094117647065E-4</v>
      </c>
    </row>
    <row r="40" spans="1:25" ht="13.5" thickBot="1" x14ac:dyDescent="0.25">
      <c r="A40" s="497" t="s">
        <v>167</v>
      </c>
      <c r="B40" s="498" t="s">
        <v>360</v>
      </c>
      <c r="C40" s="490">
        <f>'Combustion (Proposed)'!K44</f>
        <v>4.1999999999999996E-6</v>
      </c>
      <c r="D40" s="485">
        <f>'Combustion (Proposed)'!L44</f>
        <v>1.8395999999999998E-5</v>
      </c>
      <c r="E40" s="485">
        <f>'Combustion (Proposed)'!K108</f>
        <v>4.1176470588235289E-7</v>
      </c>
      <c r="F40" s="485">
        <f>'Combustion (Proposed)'!L108</f>
        <v>1.8035294117647058E-6</v>
      </c>
      <c r="G40" s="485">
        <f>'Combustion (Proposed)'!K172</f>
        <v>1.4477647058823526E-6</v>
      </c>
      <c r="H40" s="485">
        <f>'Combustion (Proposed)'!L172</f>
        <v>6.3412094117647046E-6</v>
      </c>
      <c r="I40" s="485">
        <f>'Combustion (Proposed)'!I235</f>
        <v>3.0470588235294119E-6</v>
      </c>
      <c r="J40" s="485">
        <f>'Combustion (Proposed)'!J235</f>
        <v>1.3346117647058825E-5</v>
      </c>
      <c r="K40" s="486">
        <f t="shared" si="0"/>
        <v>9.1065882352941169E-6</v>
      </c>
      <c r="L40" s="491">
        <f t="shared" si="1"/>
        <v>3.9886856470588235E-5</v>
      </c>
      <c r="N40" s="502" t="s">
        <v>167</v>
      </c>
      <c r="O40" s="503" t="s">
        <v>360</v>
      </c>
      <c r="P40" s="492">
        <v>4.1999999999999996E-6</v>
      </c>
      <c r="Q40" s="493">
        <v>1.8395999999999998E-5</v>
      </c>
      <c r="R40" s="493">
        <v>4.11764705882353E-7</v>
      </c>
      <c r="S40" s="493">
        <v>1.8035294117647101E-6</v>
      </c>
      <c r="T40" s="493">
        <v>1.4477647058823526E-6</v>
      </c>
      <c r="U40" s="493">
        <v>6.3412094117647046E-6</v>
      </c>
      <c r="V40" s="493">
        <v>3.0470588235294119E-6</v>
      </c>
      <c r="W40" s="493">
        <v>1.3346117647058825E-5</v>
      </c>
      <c r="X40" s="494">
        <v>9.1065882352941169E-6</v>
      </c>
      <c r="Y40" s="495">
        <v>3.9886856470588235E-5</v>
      </c>
    </row>
    <row r="41" spans="1:25" x14ac:dyDescent="0.2">
      <c r="A41" s="497" t="s">
        <v>168</v>
      </c>
      <c r="B41" s="498" t="s">
        <v>362</v>
      </c>
      <c r="C41" s="490">
        <f>'Combustion (Proposed)'!K45</f>
        <v>1.9000000000000001E-5</v>
      </c>
      <c r="D41" s="485">
        <f>'Combustion (Proposed)'!L45</f>
        <v>8.3220000000000006E-5</v>
      </c>
      <c r="E41" s="485">
        <f>'Combustion (Proposed)'!K109</f>
        <v>1.8627450980392158E-6</v>
      </c>
      <c r="F41" s="485">
        <f>'Combustion (Proposed)'!L109</f>
        <v>8.1588235294117654E-6</v>
      </c>
      <c r="G41" s="485">
        <f>'Combustion (Proposed)'!K173</f>
        <v>6.5494117647058819E-6</v>
      </c>
      <c r="H41" s="485">
        <f>'Combustion (Proposed)'!L173</f>
        <v>2.8686423529411763E-5</v>
      </c>
      <c r="I41" s="485">
        <f>'Combustion (Proposed)'!I236</f>
        <v>1.3784313725490197E-5</v>
      </c>
      <c r="J41" s="485">
        <f>'Combustion (Proposed)'!J236</f>
        <v>6.0375294117647064E-5</v>
      </c>
      <c r="K41" s="486">
        <f t="shared" si="0"/>
        <v>4.1196470588235294E-5</v>
      </c>
      <c r="L41" s="491">
        <f t="shared" si="1"/>
        <v>1.8044054117647061E-4</v>
      </c>
      <c r="M41">
        <v>12</v>
      </c>
      <c r="N41" s="512" t="s">
        <v>168</v>
      </c>
      <c r="O41" s="514" t="s">
        <v>362</v>
      </c>
      <c r="P41" s="507">
        <v>1.9000000000000001E-5</v>
      </c>
      <c r="Q41" s="508">
        <v>8.3220000000000006E-5</v>
      </c>
      <c r="R41" s="508">
        <v>1.8627450980392158E-6</v>
      </c>
      <c r="S41" s="508">
        <v>8.1588235294117654E-6</v>
      </c>
      <c r="T41" s="508">
        <v>6.5494117647058819E-6</v>
      </c>
      <c r="U41" s="508">
        <v>2.8686423529411763E-5</v>
      </c>
      <c r="V41" s="508">
        <v>1.3784313725490197E-5</v>
      </c>
      <c r="W41" s="508">
        <v>6.0375294117647064E-5</v>
      </c>
      <c r="X41" s="509">
        <v>4.1196470588235294E-5</v>
      </c>
      <c r="Y41" s="510">
        <v>1.8044054117647061E-4</v>
      </c>
    </row>
    <row r="42" spans="1:25" x14ac:dyDescent="0.2">
      <c r="A42" s="497" t="s">
        <v>169</v>
      </c>
      <c r="B42" s="498" t="s">
        <v>361</v>
      </c>
      <c r="C42" s="490">
        <f>'Combustion (Proposed)'!K46</f>
        <v>1.2999999999999999E-5</v>
      </c>
      <c r="D42" s="485">
        <f>'Combustion (Proposed)'!L46</f>
        <v>5.694E-5</v>
      </c>
      <c r="E42" s="485">
        <f>'Combustion (Proposed)'!K110</f>
        <v>1.2745098039215686E-6</v>
      </c>
      <c r="F42" s="485">
        <f>'Combustion (Proposed)'!L110</f>
        <v>5.5823529411764704E-6</v>
      </c>
      <c r="G42" s="485">
        <f>'Combustion (Proposed)'!K174</f>
        <v>4.4811764705882347E-6</v>
      </c>
      <c r="H42" s="485">
        <f>'Combustion (Proposed)'!L174</f>
        <v>1.9627552941176469E-5</v>
      </c>
      <c r="I42" s="485">
        <f>'Combustion (Proposed)'!I237</f>
        <v>9.4313725490196083E-6</v>
      </c>
      <c r="J42" s="485">
        <f>'Combustion (Proposed)'!J237</f>
        <v>4.1309411764705883E-5</v>
      </c>
      <c r="K42" s="486">
        <f t="shared" si="0"/>
        <v>2.8187058823529408E-5</v>
      </c>
      <c r="L42" s="491">
        <f t="shared" si="1"/>
        <v>1.2345931764705883E-4</v>
      </c>
      <c r="N42" s="497" t="s">
        <v>169</v>
      </c>
      <c r="O42" s="498" t="s">
        <v>361</v>
      </c>
      <c r="P42" s="490">
        <v>1.2999999999999999E-5</v>
      </c>
      <c r="Q42" s="485">
        <v>5.694E-5</v>
      </c>
      <c r="R42" s="485">
        <v>1.2745098039215686E-6</v>
      </c>
      <c r="S42" s="485">
        <v>5.5823529411764704E-6</v>
      </c>
      <c r="T42" s="485">
        <v>4.4811764705882347E-6</v>
      </c>
      <c r="U42" s="485">
        <v>1.9627552941176469E-5</v>
      </c>
      <c r="V42" s="485">
        <v>9.4313725490196083E-6</v>
      </c>
      <c r="W42" s="485">
        <v>4.1309411764705883E-5</v>
      </c>
      <c r="X42" s="486">
        <v>2.8187058823529408E-5</v>
      </c>
      <c r="Y42" s="491">
        <v>1.2345931764705883E-4</v>
      </c>
    </row>
    <row r="43" spans="1:25" ht="13.5" thickBot="1" x14ac:dyDescent="0.25">
      <c r="A43" s="497" t="s">
        <v>170</v>
      </c>
      <c r="B43" s="498" t="s">
        <v>363</v>
      </c>
      <c r="C43" s="490">
        <f>'Combustion (Proposed)'!K47</f>
        <v>1.05E-4</v>
      </c>
      <c r="D43" s="485">
        <f>'Combustion (Proposed)'!L47</f>
        <v>4.5990000000000001E-4</v>
      </c>
      <c r="E43" s="485">
        <f>'Combustion (Proposed)'!K111</f>
        <v>1.0294117647058823E-5</v>
      </c>
      <c r="F43" s="485">
        <f>'Combustion (Proposed)'!L111</f>
        <v>4.5088235294117644E-5</v>
      </c>
      <c r="G43" s="485">
        <f>'Combustion (Proposed)'!K175</f>
        <v>3.6194117647058815E-5</v>
      </c>
      <c r="H43" s="485">
        <f>'Combustion (Proposed)'!L175</f>
        <v>1.5853023529411762E-4</v>
      </c>
      <c r="I43" s="485">
        <f>'Combustion (Proposed)'!I238</f>
        <v>7.6176470588235301E-5</v>
      </c>
      <c r="J43" s="485">
        <f>'Combustion (Proposed)'!J238</f>
        <v>3.3365294117647062E-4</v>
      </c>
      <c r="K43" s="486">
        <f t="shared" si="0"/>
        <v>2.2766470588235296E-4</v>
      </c>
      <c r="L43" s="491">
        <f t="shared" si="1"/>
        <v>9.9717141176470592E-4</v>
      </c>
      <c r="N43" s="502" t="s">
        <v>170</v>
      </c>
      <c r="O43" s="503" t="s">
        <v>363</v>
      </c>
      <c r="P43" s="492">
        <v>1.05E-4</v>
      </c>
      <c r="Q43" s="493">
        <v>4.5990000000000001E-4</v>
      </c>
      <c r="R43" s="493">
        <v>1.0294117647058823E-5</v>
      </c>
      <c r="S43" s="493">
        <v>4.5088235294117644E-5</v>
      </c>
      <c r="T43" s="493">
        <v>3.6194117647058815E-5</v>
      </c>
      <c r="U43" s="493">
        <v>1.5853023529411762E-4</v>
      </c>
      <c r="V43" s="493">
        <v>7.6176470588235301E-5</v>
      </c>
      <c r="W43" s="493">
        <v>3.3365294117647062E-4</v>
      </c>
      <c r="X43" s="494">
        <v>2.2766470588235296E-4</v>
      </c>
      <c r="Y43" s="495">
        <v>9.9717141176470592E-4</v>
      </c>
    </row>
    <row r="44" spans="1:25" ht="13.5" thickBot="1" x14ac:dyDescent="0.25">
      <c r="A44" s="502" t="s">
        <v>171</v>
      </c>
      <c r="B44" s="503" t="s">
        <v>364</v>
      </c>
      <c r="C44" s="492">
        <f>'Combustion (Proposed)'!K48</f>
        <v>1.2000000000000002E-6</v>
      </c>
      <c r="D44" s="493">
        <f>'Combustion (Proposed)'!L48</f>
        <v>5.256000000000001E-6</v>
      </c>
      <c r="E44" s="493">
        <f>'Combustion (Proposed)'!K112</f>
        <v>1.1764705882352942E-7</v>
      </c>
      <c r="F44" s="493">
        <f>'Combustion (Proposed)'!L112</f>
        <v>5.1529411764705885E-7</v>
      </c>
      <c r="G44" s="493">
        <f>'Combustion (Proposed)'!K176</f>
        <v>4.1364705882352939E-7</v>
      </c>
      <c r="H44" s="493">
        <f>'Combustion (Proposed)'!L176</f>
        <v>1.8117741176470586E-6</v>
      </c>
      <c r="I44" s="493">
        <f>'Combustion (Proposed)'!I239</f>
        <v>8.7058823529411776E-7</v>
      </c>
      <c r="J44" s="493">
        <f>'Combustion (Proposed)'!J239</f>
        <v>3.8131764705882358E-6</v>
      </c>
      <c r="K44" s="494">
        <f t="shared" si="0"/>
        <v>2.6018823529411768E-6</v>
      </c>
      <c r="L44" s="495">
        <f t="shared" si="1"/>
        <v>1.1396244705882355E-5</v>
      </c>
      <c r="M44">
        <v>13</v>
      </c>
      <c r="N44" s="516" t="s">
        <v>171</v>
      </c>
      <c r="O44" s="517" t="s">
        <v>364</v>
      </c>
      <c r="P44" s="518">
        <v>1.2000000000000002E-6</v>
      </c>
      <c r="Q44" s="519">
        <v>5.256000000000001E-6</v>
      </c>
      <c r="R44" s="519">
        <v>1.1764705882352942E-7</v>
      </c>
      <c r="S44" s="519">
        <v>5.1529411764705885E-7</v>
      </c>
      <c r="T44" s="519">
        <v>4.1364705882352939E-7</v>
      </c>
      <c r="U44" s="519">
        <v>1.8117741176470586E-6</v>
      </c>
      <c r="V44" s="519">
        <v>8.7058823529411776E-7</v>
      </c>
      <c r="W44" s="519">
        <v>3.8131764705882358E-6</v>
      </c>
      <c r="X44" s="520">
        <v>2.6018823529411768E-6</v>
      </c>
      <c r="Y44" s="521">
        <v>1.1396244705882355E-5</v>
      </c>
    </row>
    <row r="45" spans="1:25" x14ac:dyDescent="0.2">
      <c r="I45" s="484"/>
      <c r="J45" s="484"/>
    </row>
    <row r="46" spans="1:25" x14ac:dyDescent="0.2">
      <c r="I46" s="484"/>
      <c r="J46" s="484"/>
      <c r="L46" s="484"/>
    </row>
  </sheetData>
  <mergeCells count="13">
    <mergeCell ref="T5:U5"/>
    <mergeCell ref="V5:W5"/>
    <mergeCell ref="X5:Y5"/>
    <mergeCell ref="C5:D5"/>
    <mergeCell ref="E5:F5"/>
    <mergeCell ref="G5:H5"/>
    <mergeCell ref="I5:J5"/>
    <mergeCell ref="K5:L5"/>
    <mergeCell ref="A1:M1"/>
    <mergeCell ref="A2:M2"/>
    <mergeCell ref="A3:M3"/>
    <mergeCell ref="P5:Q5"/>
    <mergeCell ref="R5:S5"/>
  </mergeCells>
  <pageMargins left="0.7" right="0.7" top="0.75" bottom="0.75" header="0.3" footer="0.3"/>
  <pageSetup scale="6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view="pageBreakPreview" zoomScale="60" zoomScaleNormal="100" workbookViewId="0">
      <selection activeCell="W28" sqref="W28"/>
    </sheetView>
  </sheetViews>
  <sheetFormatPr defaultRowHeight="12.75" x14ac:dyDescent="0.2"/>
  <cols>
    <col min="1" max="7" width="14.7109375" customWidth="1"/>
  </cols>
  <sheetData>
    <row r="1" spans="1:9" ht="18" x14ac:dyDescent="0.25">
      <c r="A1" s="528" t="s">
        <v>20</v>
      </c>
      <c r="B1" s="528"/>
      <c r="C1" s="528"/>
      <c r="D1" s="528"/>
      <c r="E1" s="528"/>
      <c r="F1" s="528"/>
      <c r="G1" s="528"/>
    </row>
    <row r="2" spans="1:9" ht="15.75" x14ac:dyDescent="0.25">
      <c r="A2" s="529" t="s">
        <v>77</v>
      </c>
      <c r="B2" s="529"/>
      <c r="C2" s="529"/>
      <c r="D2" s="529"/>
      <c r="E2" s="529"/>
      <c r="F2" s="529"/>
      <c r="G2" s="529"/>
    </row>
    <row r="3" spans="1:9" ht="15.75" x14ac:dyDescent="0.25">
      <c r="A3" s="529" t="s">
        <v>271</v>
      </c>
      <c r="B3" s="529"/>
      <c r="C3" s="529"/>
      <c r="D3" s="529"/>
      <c r="E3" s="529"/>
      <c r="F3" s="529"/>
      <c r="G3" s="529"/>
      <c r="H3" s="74"/>
      <c r="I3" s="74"/>
    </row>
    <row r="4" spans="1:9" ht="15.75" x14ac:dyDescent="0.25">
      <c r="A4" s="571"/>
      <c r="B4" s="571"/>
      <c r="C4" s="571"/>
      <c r="D4" s="571"/>
      <c r="E4" s="571"/>
      <c r="F4" s="571"/>
      <c r="G4" s="571"/>
      <c r="H4" s="74"/>
      <c r="I4" s="74"/>
    </row>
    <row r="5" spans="1:9" ht="12.75" hidden="1" customHeight="1" x14ac:dyDescent="0.25">
      <c r="A5" s="13"/>
      <c r="B5" s="13"/>
      <c r="C5" s="13"/>
      <c r="D5" s="13"/>
      <c r="E5" s="13"/>
      <c r="F5" s="13"/>
      <c r="G5" s="13"/>
    </row>
    <row r="6" spans="1:9" ht="15.75" hidden="1" x14ac:dyDescent="0.25">
      <c r="A6" s="529" t="s">
        <v>66</v>
      </c>
      <c r="B6" s="529"/>
      <c r="C6" s="529"/>
      <c r="D6" s="529"/>
      <c r="E6" s="529"/>
      <c r="F6" s="529"/>
      <c r="G6" s="529"/>
    </row>
    <row r="7" spans="1:9" hidden="1" x14ac:dyDescent="0.2">
      <c r="B7" s="51"/>
      <c r="C7" s="51"/>
      <c r="D7" s="64" t="s">
        <v>60</v>
      </c>
      <c r="E7" s="65">
        <v>4902</v>
      </c>
      <c r="F7" s="51" t="s">
        <v>65</v>
      </c>
      <c r="G7" s="51"/>
    </row>
    <row r="8" spans="1:9" hidden="1" x14ac:dyDescent="0.2">
      <c r="B8" s="51"/>
      <c r="C8" s="51"/>
      <c r="D8" s="64" t="s">
        <v>54</v>
      </c>
      <c r="E8" s="65">
        <v>1020</v>
      </c>
      <c r="F8" s="51" t="s">
        <v>64</v>
      </c>
      <c r="G8" s="51"/>
    </row>
    <row r="9" spans="1:9" hidden="1" x14ac:dyDescent="0.2">
      <c r="B9" s="51"/>
      <c r="C9" s="51"/>
      <c r="D9" s="64" t="s">
        <v>52</v>
      </c>
      <c r="E9" s="63">
        <v>5</v>
      </c>
      <c r="F9" s="51" t="s">
        <v>63</v>
      </c>
      <c r="G9" s="51"/>
    </row>
    <row r="10" spans="1:9" ht="13.5" hidden="1" thickBot="1" x14ac:dyDescent="0.25">
      <c r="B10" s="51"/>
      <c r="C10" s="51"/>
      <c r="D10" s="51"/>
      <c r="E10" s="51"/>
      <c r="F10" s="51"/>
      <c r="G10" s="51"/>
    </row>
    <row r="11" spans="1:9" ht="26.25" hidden="1" thickTop="1" x14ac:dyDescent="0.2">
      <c r="B11" s="569" t="s">
        <v>19</v>
      </c>
      <c r="C11" s="46" t="s">
        <v>48</v>
      </c>
      <c r="D11" s="46" t="s">
        <v>75</v>
      </c>
      <c r="E11" s="46" t="s">
        <v>23</v>
      </c>
      <c r="F11" s="62" t="s">
        <v>22</v>
      </c>
      <c r="G11" s="73"/>
    </row>
    <row r="12" spans="1:9" ht="13.5" hidden="1" thickBot="1" x14ac:dyDescent="0.25">
      <c r="B12" s="570"/>
      <c r="C12" s="44" t="s">
        <v>62</v>
      </c>
      <c r="D12" s="44" t="s">
        <v>21</v>
      </c>
      <c r="E12" s="44" t="s">
        <v>13</v>
      </c>
      <c r="F12" s="61" t="s">
        <v>13</v>
      </c>
      <c r="G12" s="14"/>
    </row>
    <row r="13" spans="1:9" ht="13.5" hidden="1" thickTop="1" x14ac:dyDescent="0.2">
      <c r="B13" s="41" t="s">
        <v>18</v>
      </c>
      <c r="C13" s="60">
        <v>7.6</v>
      </c>
      <c r="D13" s="60">
        <f>C13*$E$7/1000000</f>
        <v>3.7255199999999995E-2</v>
      </c>
      <c r="E13" s="59">
        <f>D13*4.38</f>
        <v>0.16317777599999997</v>
      </c>
      <c r="F13" s="58">
        <f>E13</f>
        <v>0.16317777599999997</v>
      </c>
      <c r="G13" s="51"/>
    </row>
    <row r="14" spans="1:9" ht="14.25" hidden="1" x14ac:dyDescent="0.25">
      <c r="B14" s="36" t="s">
        <v>17</v>
      </c>
      <c r="C14" s="57">
        <v>7.6</v>
      </c>
      <c r="D14" s="57">
        <f>C14*$E$7/1000000</f>
        <v>3.7255199999999995E-2</v>
      </c>
      <c r="E14" s="56">
        <f>D14*4.38</f>
        <v>0.16317777599999997</v>
      </c>
      <c r="F14" s="55">
        <f>E14</f>
        <v>0.16317777599999997</v>
      </c>
      <c r="G14" s="51"/>
    </row>
    <row r="15" spans="1:9" ht="15" hidden="1" thickBot="1" x14ac:dyDescent="0.3">
      <c r="B15" s="31" t="s">
        <v>16</v>
      </c>
      <c r="C15" s="54">
        <v>7.6</v>
      </c>
      <c r="D15" s="54">
        <f>C15*$E$7/1000000</f>
        <v>3.7255199999999995E-2</v>
      </c>
      <c r="E15" s="53">
        <f>D15*4.38</f>
        <v>0.16317777599999997</v>
      </c>
      <c r="F15" s="52">
        <f>E15</f>
        <v>0.16317777599999997</v>
      </c>
      <c r="G15" s="51"/>
    </row>
    <row r="16" spans="1:9" ht="13.5" hidden="1" thickTop="1" x14ac:dyDescent="0.2">
      <c r="B16" s="563" t="s">
        <v>61</v>
      </c>
      <c r="C16" s="563"/>
      <c r="D16" s="563"/>
      <c r="E16" s="563"/>
      <c r="F16" s="563"/>
      <c r="G16" s="51"/>
    </row>
    <row r="17" spans="1:7" hidden="1" x14ac:dyDescent="0.2">
      <c r="A17" s="51"/>
      <c r="B17" s="51"/>
      <c r="C17" s="51"/>
      <c r="D17" s="51"/>
      <c r="E17" s="51"/>
      <c r="F17" s="51"/>
      <c r="G17" s="51"/>
    </row>
    <row r="18" spans="1:7" ht="15.75" hidden="1" x14ac:dyDescent="0.25">
      <c r="A18" s="529" t="s">
        <v>76</v>
      </c>
      <c r="B18" s="529"/>
      <c r="C18" s="529"/>
      <c r="D18" s="529"/>
      <c r="E18" s="529"/>
      <c r="F18" s="529"/>
      <c r="G18" s="529"/>
    </row>
    <row r="19" spans="1:7" hidden="1" x14ac:dyDescent="0.2">
      <c r="B19" s="51"/>
      <c r="C19" s="51"/>
      <c r="D19" s="64" t="s">
        <v>60</v>
      </c>
      <c r="E19" s="65">
        <v>35.700000000000003</v>
      </c>
      <c r="F19" s="51" t="s">
        <v>59</v>
      </c>
      <c r="G19" s="51"/>
    </row>
    <row r="20" spans="1:7" hidden="1" x14ac:dyDescent="0.2">
      <c r="B20" s="51"/>
      <c r="C20" s="51"/>
      <c r="D20" s="64" t="s">
        <v>58</v>
      </c>
      <c r="E20" s="72">
        <v>7.2060000000000004</v>
      </c>
      <c r="F20" s="51" t="s">
        <v>57</v>
      </c>
      <c r="G20" s="51"/>
    </row>
    <row r="21" spans="1:7" hidden="1" x14ac:dyDescent="0.2">
      <c r="B21" s="51"/>
      <c r="C21" s="51"/>
      <c r="D21" s="64" t="s">
        <v>56</v>
      </c>
      <c r="E21" s="65">
        <v>19429</v>
      </c>
      <c r="F21" s="51" t="s">
        <v>55</v>
      </c>
      <c r="G21" s="51"/>
    </row>
    <row r="22" spans="1:7" hidden="1" x14ac:dyDescent="0.2">
      <c r="B22" s="51"/>
      <c r="C22" s="51"/>
      <c r="D22" s="64" t="s">
        <v>54</v>
      </c>
      <c r="E22" s="65">
        <v>140005</v>
      </c>
      <c r="F22" s="51" t="s">
        <v>53</v>
      </c>
      <c r="G22" s="51"/>
    </row>
    <row r="23" spans="1:7" hidden="1" x14ac:dyDescent="0.2">
      <c r="B23" s="51"/>
      <c r="C23" s="51"/>
      <c r="D23" s="64" t="s">
        <v>52</v>
      </c>
      <c r="E23" s="63">
        <v>5</v>
      </c>
      <c r="F23" s="51" t="s">
        <v>51</v>
      </c>
      <c r="G23" s="51"/>
    </row>
    <row r="24" spans="1:7" hidden="1" x14ac:dyDescent="0.2">
      <c r="B24" s="51"/>
      <c r="C24" s="51"/>
      <c r="D24" s="64" t="s">
        <v>50</v>
      </c>
      <c r="E24" s="63">
        <v>0.5</v>
      </c>
      <c r="F24" s="51" t="s">
        <v>49</v>
      </c>
      <c r="G24" s="51"/>
    </row>
    <row r="25" spans="1:7" ht="13.5" hidden="1" thickBot="1" x14ac:dyDescent="0.25">
      <c r="B25" s="51"/>
      <c r="C25" s="51"/>
      <c r="D25" s="51"/>
      <c r="E25" s="51"/>
      <c r="F25" s="51"/>
      <c r="G25" s="51"/>
    </row>
    <row r="26" spans="1:7" ht="26.25" hidden="1" thickTop="1" x14ac:dyDescent="0.2">
      <c r="B26" s="569" t="s">
        <v>19</v>
      </c>
      <c r="C26" s="46" t="s">
        <v>48</v>
      </c>
      <c r="D26" s="46" t="s">
        <v>75</v>
      </c>
      <c r="E26" s="46" t="s">
        <v>23</v>
      </c>
      <c r="F26" s="62" t="s">
        <v>22</v>
      </c>
      <c r="G26" s="51"/>
    </row>
    <row r="27" spans="1:7" ht="13.5" hidden="1" thickBot="1" x14ac:dyDescent="0.25">
      <c r="B27" s="570"/>
      <c r="C27" s="44" t="s">
        <v>47</v>
      </c>
      <c r="D27" s="44" t="s">
        <v>21</v>
      </c>
      <c r="E27" s="44" t="s">
        <v>13</v>
      </c>
      <c r="F27" s="61" t="s">
        <v>13</v>
      </c>
      <c r="G27" s="51"/>
    </row>
    <row r="28" spans="1:7" ht="13.5" hidden="1" thickTop="1" x14ac:dyDescent="0.2">
      <c r="B28" s="41" t="s">
        <v>18</v>
      </c>
      <c r="C28" s="60">
        <v>2</v>
      </c>
      <c r="D28" s="71">
        <f>C28*$E$19/1000</f>
        <v>7.1400000000000005E-2</v>
      </c>
      <c r="E28" s="71">
        <f>D28*4.38</f>
        <v>0.31273200000000001</v>
      </c>
      <c r="F28" s="70">
        <f>E28</f>
        <v>0.31273200000000001</v>
      </c>
      <c r="G28" s="51"/>
    </row>
    <row r="29" spans="1:7" ht="14.25" hidden="1" x14ac:dyDescent="0.25">
      <c r="B29" s="36" t="s">
        <v>17</v>
      </c>
      <c r="C29" s="57">
        <v>1</v>
      </c>
      <c r="D29" s="69">
        <f>C29*$E$19/1000</f>
        <v>3.5700000000000003E-2</v>
      </c>
      <c r="E29" s="69">
        <f>D29*4.38</f>
        <v>0.156366</v>
      </c>
      <c r="F29" s="68">
        <f>E29</f>
        <v>0.156366</v>
      </c>
      <c r="G29" s="51"/>
    </row>
    <row r="30" spans="1:7" ht="15" hidden="1" thickBot="1" x14ac:dyDescent="0.3">
      <c r="B30" s="31" t="s">
        <v>16</v>
      </c>
      <c r="C30" s="54">
        <v>0.25</v>
      </c>
      <c r="D30" s="67">
        <f>C30*$E$19/1000</f>
        <v>8.9250000000000006E-3</v>
      </c>
      <c r="E30" s="67">
        <f>D30*4.38</f>
        <v>3.9091500000000001E-2</v>
      </c>
      <c r="F30" s="66">
        <f>E30</f>
        <v>3.9091500000000001E-2</v>
      </c>
      <c r="G30" s="51"/>
    </row>
    <row r="31" spans="1:7" ht="13.5" hidden="1" thickTop="1" x14ac:dyDescent="0.2">
      <c r="B31" s="563" t="s">
        <v>74</v>
      </c>
      <c r="C31" s="563"/>
      <c r="D31" s="563"/>
      <c r="E31" s="563"/>
      <c r="F31" s="563"/>
      <c r="G31" s="51"/>
    </row>
    <row r="33" spans="1:9" ht="16.5" thickBot="1" x14ac:dyDescent="0.3">
      <c r="A33" s="572" t="s">
        <v>73</v>
      </c>
      <c r="B33" s="572"/>
      <c r="C33" s="572"/>
      <c r="D33" s="572"/>
      <c r="E33" s="572"/>
      <c r="F33" s="572"/>
      <c r="G33" s="572"/>
    </row>
    <row r="34" spans="1:9" ht="26.25" thickTop="1" x14ac:dyDescent="0.2">
      <c r="A34" s="48"/>
      <c r="B34" s="573" t="s">
        <v>39</v>
      </c>
      <c r="C34" s="573"/>
      <c r="D34" s="573"/>
      <c r="E34" s="47" t="s">
        <v>38</v>
      </c>
      <c r="F34" s="574" t="s">
        <v>35</v>
      </c>
      <c r="G34" s="575"/>
    </row>
    <row r="35" spans="1:9" ht="13.5" thickBot="1" x14ac:dyDescent="0.25">
      <c r="A35" s="45" t="s">
        <v>19</v>
      </c>
      <c r="B35" s="44" t="s">
        <v>34</v>
      </c>
      <c r="C35" s="44" t="s">
        <v>33</v>
      </c>
      <c r="D35" s="44" t="s">
        <v>0</v>
      </c>
      <c r="E35" s="44" t="s">
        <v>21</v>
      </c>
      <c r="F35" s="43" t="s">
        <v>21</v>
      </c>
      <c r="G35" s="42" t="s">
        <v>13</v>
      </c>
    </row>
    <row r="36" spans="1:9" ht="15" thickTop="1" x14ac:dyDescent="0.2">
      <c r="A36" s="41" t="s">
        <v>31</v>
      </c>
      <c r="B36" s="7">
        <f>B37/(85/100)</f>
        <v>0.89411764705882357</v>
      </c>
      <c r="C36" s="80">
        <v>0.46</v>
      </c>
      <c r="D36" s="139">
        <f>B36+C36</f>
        <v>1.3541176470588236</v>
      </c>
      <c r="E36" s="566">
        <v>2000</v>
      </c>
      <c r="F36" s="38">
        <f>($E$36/2000)*D36</f>
        <v>1.3541176470588236</v>
      </c>
      <c r="G36" s="37">
        <f>F36*4.38</f>
        <v>5.9310352941176472</v>
      </c>
    </row>
    <row r="37" spans="1:9" ht="15" x14ac:dyDescent="0.25">
      <c r="A37" s="36" t="s">
        <v>30</v>
      </c>
      <c r="B37" s="34">
        <v>0.76</v>
      </c>
      <c r="C37" s="79">
        <v>0.46</v>
      </c>
      <c r="D37" s="143">
        <f>B37+C37</f>
        <v>1.22</v>
      </c>
      <c r="E37" s="567"/>
      <c r="F37" s="33">
        <f>($E$36/2000)*D37</f>
        <v>1.22</v>
      </c>
      <c r="G37" s="32">
        <f>F37*4.38</f>
        <v>5.3435999999999995</v>
      </c>
      <c r="I37" s="129"/>
    </row>
    <row r="38" spans="1:9" ht="15" x14ac:dyDescent="0.25">
      <c r="A38" s="36" t="s">
        <v>29</v>
      </c>
      <c r="B38" s="6">
        <f>(30/85)*B37</f>
        <v>0.26823529411764707</v>
      </c>
      <c r="C38" s="79">
        <v>0.46</v>
      </c>
      <c r="D38" s="139">
        <f>B38+C38</f>
        <v>0.72823529411764709</v>
      </c>
      <c r="E38" s="567"/>
      <c r="F38" s="33">
        <f>($E$36/2000)*D38</f>
        <v>0.72823529411764709</v>
      </c>
      <c r="G38" s="32">
        <f>F38*4.38</f>
        <v>3.1896705882352943</v>
      </c>
    </row>
    <row r="39" spans="1:9" ht="15" thickBot="1" x14ac:dyDescent="0.25">
      <c r="A39" s="144" t="s">
        <v>44</v>
      </c>
      <c r="B39" s="141" t="s">
        <v>256</v>
      </c>
      <c r="C39" s="142" t="s">
        <v>256</v>
      </c>
      <c r="D39" s="141">
        <v>0.09</v>
      </c>
      <c r="E39" s="568"/>
      <c r="F39" s="27">
        <f>($E$36/2000)*D39</f>
        <v>0.09</v>
      </c>
      <c r="G39" s="26">
        <f>F39*4.38</f>
        <v>0.39419999999999999</v>
      </c>
    </row>
    <row r="40" spans="1:9" ht="28.5" customHeight="1" thickTop="1" x14ac:dyDescent="0.2">
      <c r="A40" s="559" t="s">
        <v>72</v>
      </c>
      <c r="B40" s="560"/>
      <c r="C40" s="560"/>
      <c r="D40" s="560"/>
      <c r="E40" s="560"/>
      <c r="F40" s="560"/>
      <c r="G40" s="560"/>
    </row>
    <row r="41" spans="1:9" ht="14.25" x14ac:dyDescent="0.25">
      <c r="A41" s="25" t="s">
        <v>71</v>
      </c>
      <c r="B41" s="1"/>
      <c r="C41" s="1"/>
      <c r="D41" s="1"/>
      <c r="E41" s="1"/>
      <c r="F41" s="1"/>
      <c r="G41" s="1"/>
    </row>
    <row r="42" spans="1:9" ht="27" customHeight="1" x14ac:dyDescent="0.2">
      <c r="A42" s="561" t="s">
        <v>70</v>
      </c>
      <c r="B42" s="562"/>
      <c r="C42" s="562"/>
      <c r="D42" s="562"/>
      <c r="E42" s="562"/>
      <c r="F42" s="562"/>
      <c r="G42" s="562"/>
    </row>
    <row r="43" spans="1:9" ht="13.5" x14ac:dyDescent="0.2">
      <c r="A43" s="25" t="s">
        <v>260</v>
      </c>
    </row>
    <row r="44" spans="1:9" ht="16.5" hidden="1" thickBot="1" x14ac:dyDescent="0.3">
      <c r="A44" s="529" t="s">
        <v>69</v>
      </c>
      <c r="B44" s="529"/>
      <c r="C44" s="529"/>
      <c r="D44" s="529"/>
      <c r="E44" s="529"/>
      <c r="F44" s="529"/>
      <c r="G44" s="529"/>
    </row>
    <row r="45" spans="1:9" ht="39" hidden="1" thickTop="1" x14ac:dyDescent="0.2">
      <c r="B45" s="555" t="s">
        <v>19</v>
      </c>
      <c r="C45" s="556"/>
      <c r="D45" s="78" t="s">
        <v>24</v>
      </c>
      <c r="E45" s="78" t="s">
        <v>23</v>
      </c>
      <c r="F45" s="77" t="s">
        <v>22</v>
      </c>
    </row>
    <row r="46" spans="1:9" ht="13.5" hidden="1" thickBot="1" x14ac:dyDescent="0.25">
      <c r="B46" s="557"/>
      <c r="C46" s="558"/>
      <c r="D46" s="76" t="s">
        <v>21</v>
      </c>
      <c r="E46" s="76" t="s">
        <v>13</v>
      </c>
      <c r="F46" s="75" t="s">
        <v>13</v>
      </c>
    </row>
    <row r="47" spans="1:9" ht="13.5" hidden="1" thickTop="1" x14ac:dyDescent="0.2">
      <c r="B47" s="564" t="s">
        <v>18</v>
      </c>
      <c r="C47" s="565"/>
      <c r="D47" s="71">
        <f>D28+F36</f>
        <v>1.4255176470588236</v>
      </c>
      <c r="E47" s="71">
        <f>D47*4.38</f>
        <v>6.2437672941176467</v>
      </c>
      <c r="F47" s="70">
        <f>E47</f>
        <v>6.2437672941176467</v>
      </c>
    </row>
    <row r="48" spans="1:9" ht="14.25" hidden="1" x14ac:dyDescent="0.25">
      <c r="B48" s="551" t="s">
        <v>17</v>
      </c>
      <c r="C48" s="552"/>
      <c r="D48" s="71">
        <f>D29+F37</f>
        <v>1.2557</v>
      </c>
      <c r="E48" s="71">
        <f>D48*4.38</f>
        <v>5.4999659999999997</v>
      </c>
      <c r="F48" s="70">
        <f>E48</f>
        <v>5.4999659999999997</v>
      </c>
    </row>
    <row r="49" spans="2:6" ht="15" hidden="1" thickBot="1" x14ac:dyDescent="0.3">
      <c r="B49" s="553" t="s">
        <v>16</v>
      </c>
      <c r="C49" s="554"/>
      <c r="D49" s="67">
        <f>D30+F38</f>
        <v>0.73716029411764705</v>
      </c>
      <c r="E49" s="67">
        <f>D49*4.38</f>
        <v>3.2287620882352939</v>
      </c>
      <c r="F49" s="66">
        <f>E49</f>
        <v>3.2287620882352939</v>
      </c>
    </row>
  </sheetData>
  <mergeCells count="21">
    <mergeCell ref="A1:G1"/>
    <mergeCell ref="A2:G2"/>
    <mergeCell ref="B11:B12"/>
    <mergeCell ref="B16:F16"/>
    <mergeCell ref="A6:G6"/>
    <mergeCell ref="B31:F31"/>
    <mergeCell ref="A3:G3"/>
    <mergeCell ref="A18:G18"/>
    <mergeCell ref="B47:C47"/>
    <mergeCell ref="E36:E39"/>
    <mergeCell ref="B26:B27"/>
    <mergeCell ref="A4:G4"/>
    <mergeCell ref="A33:G33"/>
    <mergeCell ref="B34:D34"/>
    <mergeCell ref="F34:G34"/>
    <mergeCell ref="B48:C48"/>
    <mergeCell ref="B49:C49"/>
    <mergeCell ref="A44:G44"/>
    <mergeCell ref="B45:C46"/>
    <mergeCell ref="A40:G40"/>
    <mergeCell ref="A42:G42"/>
  </mergeCells>
  <printOptions horizontalCentered="1"/>
  <pageMargins left="0.75" right="0.75" top="1" bottom="1" header="0.5" footer="0.5"/>
  <pageSetup scale="88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view="pageBreakPreview" zoomScale="60" zoomScaleNormal="100" workbookViewId="0">
      <selection activeCell="W28" sqref="W28"/>
    </sheetView>
  </sheetViews>
  <sheetFormatPr defaultRowHeight="12.75" x14ac:dyDescent="0.2"/>
  <cols>
    <col min="1" max="1" width="14.7109375" style="14" customWidth="1"/>
    <col min="2" max="9" width="14.7109375" style="1" customWidth="1"/>
    <col min="10" max="10" width="16.7109375" style="1" customWidth="1"/>
  </cols>
  <sheetData>
    <row r="1" spans="1:10" ht="18" x14ac:dyDescent="0.25">
      <c r="A1" s="528" t="s">
        <v>20</v>
      </c>
      <c r="B1" s="528"/>
      <c r="C1" s="528"/>
      <c r="D1" s="528"/>
      <c r="E1" s="528"/>
      <c r="F1" s="528"/>
      <c r="G1" s="528"/>
      <c r="H1" s="528"/>
      <c r="I1" s="528"/>
    </row>
    <row r="2" spans="1:10" ht="15.75" x14ac:dyDescent="0.25">
      <c r="A2" s="529" t="s">
        <v>93</v>
      </c>
      <c r="B2" s="529"/>
      <c r="C2" s="529"/>
      <c r="D2" s="529"/>
      <c r="E2" s="529"/>
      <c r="F2" s="529"/>
      <c r="G2" s="529"/>
      <c r="H2" s="529"/>
      <c r="I2" s="529"/>
    </row>
    <row r="3" spans="1:10" ht="18.75" x14ac:dyDescent="0.35">
      <c r="A3" s="529" t="s">
        <v>67</v>
      </c>
      <c r="B3" s="529"/>
      <c r="C3" s="529"/>
      <c r="D3" s="529"/>
      <c r="E3" s="529"/>
      <c r="F3" s="529"/>
      <c r="G3" s="529"/>
      <c r="H3" s="529"/>
      <c r="I3" s="529"/>
    </row>
    <row r="4" spans="1:10" ht="15" x14ac:dyDescent="0.2">
      <c r="A4" s="571"/>
      <c r="B4" s="571"/>
      <c r="C4" s="571"/>
      <c r="D4" s="571"/>
      <c r="E4" s="571"/>
      <c r="F4" s="571"/>
      <c r="G4" s="571"/>
      <c r="H4" s="571"/>
      <c r="I4" s="571"/>
    </row>
    <row r="6" spans="1:10" ht="16.5" thickBot="1" x14ac:dyDescent="0.3">
      <c r="A6" s="572" t="s">
        <v>92</v>
      </c>
      <c r="B6" s="572"/>
      <c r="C6" s="572"/>
      <c r="D6" s="572"/>
      <c r="E6" s="572"/>
      <c r="F6" s="572"/>
      <c r="G6" s="572"/>
      <c r="H6" s="537"/>
      <c r="I6" s="537"/>
    </row>
    <row r="7" spans="1:10" ht="24.75" customHeight="1" thickTop="1" x14ac:dyDescent="0.2">
      <c r="A7" s="48"/>
      <c r="B7" s="595" t="s">
        <v>39</v>
      </c>
      <c r="C7" s="596"/>
      <c r="D7" s="565"/>
      <c r="E7" s="47" t="s">
        <v>38</v>
      </c>
      <c r="F7" s="574" t="s">
        <v>35</v>
      </c>
      <c r="G7" s="575"/>
      <c r="H7" s="82"/>
      <c r="I7" s="81"/>
    </row>
    <row r="8" spans="1:10" s="11" customFormat="1" ht="13.5" thickBot="1" x14ac:dyDescent="0.25">
      <c r="A8" s="45" t="s">
        <v>19</v>
      </c>
      <c r="B8" s="44" t="s">
        <v>34</v>
      </c>
      <c r="C8" s="44" t="s">
        <v>33</v>
      </c>
      <c r="D8" s="44" t="s">
        <v>0</v>
      </c>
      <c r="E8" s="44" t="s">
        <v>21</v>
      </c>
      <c r="F8" s="43" t="s">
        <v>21</v>
      </c>
      <c r="G8" s="42" t="s">
        <v>13</v>
      </c>
      <c r="J8" s="50"/>
    </row>
    <row r="9" spans="1:10" ht="15" thickTop="1" x14ac:dyDescent="0.2">
      <c r="A9" s="41" t="s">
        <v>31</v>
      </c>
      <c r="B9" s="80" t="s">
        <v>12</v>
      </c>
      <c r="C9" s="80" t="s">
        <v>12</v>
      </c>
      <c r="D9" s="39">
        <v>0.87</v>
      </c>
      <c r="E9" s="590">
        <v>2000</v>
      </c>
      <c r="F9" s="38">
        <f>D9*($E$9/2000)</f>
        <v>0.87</v>
      </c>
      <c r="G9" s="37">
        <f>F9*4.38</f>
        <v>3.8106</v>
      </c>
    </row>
    <row r="10" spans="1:10" ht="15" x14ac:dyDescent="0.25">
      <c r="A10" s="36" t="s">
        <v>30</v>
      </c>
      <c r="B10" s="79" t="s">
        <v>12</v>
      </c>
      <c r="C10" s="79" t="s">
        <v>12</v>
      </c>
      <c r="D10" s="34">
        <v>0.87</v>
      </c>
      <c r="E10" s="591"/>
      <c r="F10" s="38">
        <f>D10*($E$9/2000)</f>
        <v>0.87</v>
      </c>
      <c r="G10" s="32">
        <f>F10*4.38</f>
        <v>3.8106</v>
      </c>
    </row>
    <row r="11" spans="1:10" ht="15" x14ac:dyDescent="0.25">
      <c r="A11" s="36" t="s">
        <v>91</v>
      </c>
      <c r="B11" s="79" t="s">
        <v>12</v>
      </c>
      <c r="C11" s="79" t="s">
        <v>12</v>
      </c>
      <c r="D11" s="34">
        <v>0.87</v>
      </c>
      <c r="E11" s="591"/>
      <c r="F11" s="38">
        <f>D11*($E$9/2000)</f>
        <v>0.87</v>
      </c>
      <c r="G11" s="32">
        <f>F11*4.38</f>
        <v>3.8106</v>
      </c>
    </row>
    <row r="12" spans="1:10" ht="15" thickBot="1" x14ac:dyDescent="0.25">
      <c r="A12" s="45" t="s">
        <v>261</v>
      </c>
      <c r="B12" s="54" t="s">
        <v>256</v>
      </c>
      <c r="C12" s="54" t="s">
        <v>256</v>
      </c>
      <c r="D12" s="28">
        <v>8.5000000000000006E-2</v>
      </c>
      <c r="E12" s="592"/>
      <c r="F12" s="27">
        <f>D12*($E$9/2000)</f>
        <v>8.5000000000000006E-2</v>
      </c>
      <c r="G12" s="26">
        <f>F12*4.38</f>
        <v>0.37230000000000002</v>
      </c>
    </row>
    <row r="13" spans="1:10" ht="14.25" thickTop="1" x14ac:dyDescent="0.2">
      <c r="A13" s="25" t="s">
        <v>90</v>
      </c>
    </row>
    <row r="14" spans="1:10" ht="14.25" x14ac:dyDescent="0.25">
      <c r="A14" s="25" t="s">
        <v>89</v>
      </c>
    </row>
    <row r="15" spans="1:10" ht="13.5" x14ac:dyDescent="0.2">
      <c r="A15" s="25" t="s">
        <v>262</v>
      </c>
    </row>
    <row r="16" spans="1:10" x14ac:dyDescent="0.2">
      <c r="A16" s="49"/>
    </row>
    <row r="17" spans="1:10" ht="16.5" thickBot="1" x14ac:dyDescent="0.3">
      <c r="A17" s="572" t="s">
        <v>88</v>
      </c>
      <c r="B17" s="572"/>
      <c r="C17" s="572"/>
      <c r="D17" s="572"/>
      <c r="E17" s="572"/>
      <c r="F17" s="572"/>
      <c r="G17" s="572"/>
      <c r="H17" s="572"/>
      <c r="I17" s="572"/>
    </row>
    <row r="18" spans="1:10" ht="26.25" thickTop="1" x14ac:dyDescent="0.2">
      <c r="A18" s="48"/>
      <c r="B18" s="573" t="s">
        <v>39</v>
      </c>
      <c r="C18" s="573"/>
      <c r="D18" s="573"/>
      <c r="E18" s="47" t="s">
        <v>38</v>
      </c>
      <c r="F18" s="46" t="s">
        <v>37</v>
      </c>
      <c r="G18" s="46" t="s">
        <v>36</v>
      </c>
      <c r="H18" s="574" t="s">
        <v>35</v>
      </c>
      <c r="I18" s="575"/>
    </row>
    <row r="19" spans="1:10" ht="13.5" thickBot="1" x14ac:dyDescent="0.25">
      <c r="A19" s="45" t="s">
        <v>19</v>
      </c>
      <c r="B19" s="44" t="s">
        <v>34</v>
      </c>
      <c r="C19" s="44" t="s">
        <v>33</v>
      </c>
      <c r="D19" s="44" t="s">
        <v>0</v>
      </c>
      <c r="E19" s="44" t="s">
        <v>21</v>
      </c>
      <c r="F19" s="44" t="s">
        <v>21</v>
      </c>
      <c r="G19" s="44" t="s">
        <v>32</v>
      </c>
      <c r="H19" s="43" t="s">
        <v>21</v>
      </c>
      <c r="I19" s="42" t="s">
        <v>13</v>
      </c>
      <c r="J19"/>
    </row>
    <row r="20" spans="1:10" ht="15" thickTop="1" x14ac:dyDescent="0.2">
      <c r="A20" s="41" t="s">
        <v>31</v>
      </c>
      <c r="B20" s="7">
        <v>0.56000000000000005</v>
      </c>
      <c r="C20" s="7">
        <v>0.24</v>
      </c>
      <c r="D20" s="7">
        <f>B20+C20</f>
        <v>0.8</v>
      </c>
      <c r="E20" s="590">
        <v>2000</v>
      </c>
      <c r="F20" s="7">
        <f>($E$20/2000)*D20</f>
        <v>0.8</v>
      </c>
      <c r="G20" s="39">
        <v>90</v>
      </c>
      <c r="H20" s="38">
        <f>F20*((100-G20)/100)</f>
        <v>8.0000000000000016E-2</v>
      </c>
      <c r="I20" s="37">
        <f>H20*4.38</f>
        <v>0.35040000000000004</v>
      </c>
      <c r="J20"/>
    </row>
    <row r="21" spans="1:10" ht="15" x14ac:dyDescent="0.25">
      <c r="A21" s="36" t="s">
        <v>30</v>
      </c>
      <c r="B21" s="6">
        <f>0.85*B20</f>
        <v>0.47600000000000003</v>
      </c>
      <c r="C21" s="6">
        <v>0.24</v>
      </c>
      <c r="D21" s="6">
        <f>B21+C21</f>
        <v>0.71599999999999997</v>
      </c>
      <c r="E21" s="591"/>
      <c r="F21" s="6">
        <f>($E$20/2000)*D21</f>
        <v>0.71599999999999997</v>
      </c>
      <c r="G21" s="34">
        <v>90</v>
      </c>
      <c r="H21" s="33">
        <f>F21*((100-G21)/100)</f>
        <v>7.1599999999999997E-2</v>
      </c>
      <c r="I21" s="32">
        <f>H21*4.38</f>
        <v>0.313608</v>
      </c>
      <c r="J21"/>
    </row>
    <row r="22" spans="1:10" ht="15" x14ac:dyDescent="0.25">
      <c r="A22" s="36" t="s">
        <v>29</v>
      </c>
      <c r="B22" s="6">
        <f>B20*0.3</f>
        <v>0.16800000000000001</v>
      </c>
      <c r="C22" s="6">
        <v>0.24</v>
      </c>
      <c r="D22" s="6">
        <f>B22+C22</f>
        <v>0.40800000000000003</v>
      </c>
      <c r="E22" s="591"/>
      <c r="F22" s="6">
        <f>($E$20/2000)*D22</f>
        <v>0.40800000000000003</v>
      </c>
      <c r="G22" s="34">
        <v>90</v>
      </c>
      <c r="H22" s="33">
        <f>F22*((100-G22)/100)</f>
        <v>4.0800000000000003E-2</v>
      </c>
      <c r="I22" s="32">
        <f>H22*4.38</f>
        <v>0.178704</v>
      </c>
      <c r="J22"/>
    </row>
    <row r="23" spans="1:10" ht="15" thickBot="1" x14ac:dyDescent="0.25">
      <c r="A23" s="45" t="s">
        <v>44</v>
      </c>
      <c r="B23" s="146" t="s">
        <v>256</v>
      </c>
      <c r="C23" s="146" t="s">
        <v>256</v>
      </c>
      <c r="D23" s="147">
        <v>8.5000000000000006E-2</v>
      </c>
      <c r="E23" s="592"/>
      <c r="F23" s="29">
        <f>($E$20/2000)*D23</f>
        <v>8.5000000000000006E-2</v>
      </c>
      <c r="G23" s="145" t="s">
        <v>256</v>
      </c>
      <c r="H23" s="27">
        <f>F23</f>
        <v>8.5000000000000006E-2</v>
      </c>
      <c r="I23" s="26">
        <f>H23*4.38</f>
        <v>0.37230000000000002</v>
      </c>
      <c r="J23"/>
    </row>
    <row r="24" spans="1:10" ht="14.25" thickTop="1" x14ac:dyDescent="0.2">
      <c r="A24" s="25" t="s">
        <v>43</v>
      </c>
      <c r="J24"/>
    </row>
    <row r="25" spans="1:10" ht="28.5" customHeight="1" x14ac:dyDescent="0.2">
      <c r="A25" s="561" t="s">
        <v>87</v>
      </c>
      <c r="B25" s="561"/>
      <c r="C25" s="561"/>
      <c r="D25" s="561"/>
      <c r="E25" s="561"/>
      <c r="F25" s="561"/>
      <c r="G25" s="561"/>
      <c r="H25" s="561"/>
      <c r="I25" s="561"/>
      <c r="J25"/>
    </row>
    <row r="26" spans="1:10" ht="27.75" customHeight="1" x14ac:dyDescent="0.2">
      <c r="A26" s="561" t="s">
        <v>86</v>
      </c>
      <c r="B26" s="561"/>
      <c r="C26" s="561"/>
      <c r="D26" s="561"/>
      <c r="E26" s="561"/>
      <c r="F26" s="561"/>
      <c r="G26" s="561"/>
      <c r="H26" s="561"/>
      <c r="I26" s="561"/>
      <c r="J26"/>
    </row>
    <row r="27" spans="1:10" ht="13.5" x14ac:dyDescent="0.2">
      <c r="A27" s="25" t="s">
        <v>260</v>
      </c>
      <c r="B27" s="127"/>
      <c r="C27" s="127"/>
      <c r="D27" s="127"/>
      <c r="E27" s="127"/>
      <c r="F27" s="127"/>
      <c r="G27" s="127"/>
      <c r="H27" s="127"/>
      <c r="I27" s="127"/>
      <c r="J27"/>
    </row>
    <row r="29" spans="1:10" ht="16.5" thickBot="1" x14ac:dyDescent="0.3">
      <c r="A29" s="572" t="s">
        <v>85</v>
      </c>
      <c r="B29" s="572"/>
      <c r="C29" s="572"/>
      <c r="D29" s="572"/>
      <c r="E29" s="572"/>
      <c r="F29" s="572"/>
      <c r="G29" s="572"/>
      <c r="H29" s="572"/>
      <c r="I29" s="572"/>
      <c r="J29"/>
    </row>
    <row r="30" spans="1:10" ht="26.25" thickTop="1" x14ac:dyDescent="0.2">
      <c r="A30" s="48"/>
      <c r="B30" s="573" t="s">
        <v>39</v>
      </c>
      <c r="C30" s="573"/>
      <c r="D30" s="573"/>
      <c r="E30" s="47" t="s">
        <v>38</v>
      </c>
      <c r="F30" s="46" t="s">
        <v>37</v>
      </c>
      <c r="G30" s="46" t="s">
        <v>36</v>
      </c>
      <c r="H30" s="574" t="s">
        <v>35</v>
      </c>
      <c r="I30" s="575"/>
      <c r="J30"/>
    </row>
    <row r="31" spans="1:10" ht="13.5" thickBot="1" x14ac:dyDescent="0.25">
      <c r="A31" s="45" t="s">
        <v>19</v>
      </c>
      <c r="B31" s="44" t="s">
        <v>34</v>
      </c>
      <c r="C31" s="44" t="s">
        <v>33</v>
      </c>
      <c r="D31" s="44" t="s">
        <v>0</v>
      </c>
      <c r="E31" s="44" t="s">
        <v>21</v>
      </c>
      <c r="F31" s="44" t="s">
        <v>21</v>
      </c>
      <c r="G31" s="44" t="s">
        <v>32</v>
      </c>
      <c r="H31" s="43" t="s">
        <v>21</v>
      </c>
      <c r="I31" s="42" t="s">
        <v>13</v>
      </c>
      <c r="J31"/>
    </row>
    <row r="32" spans="1:10" ht="15" thickTop="1" x14ac:dyDescent="0.2">
      <c r="A32" s="41" t="s">
        <v>31</v>
      </c>
      <c r="B32" s="40" t="s">
        <v>12</v>
      </c>
      <c r="C32" s="40" t="s">
        <v>12</v>
      </c>
      <c r="D32" s="7">
        <v>0.72</v>
      </c>
      <c r="E32" s="566">
        <v>2000</v>
      </c>
      <c r="F32" s="7">
        <f>($E$32/2000)*D32</f>
        <v>0.72</v>
      </c>
      <c r="G32" s="39">
        <v>90</v>
      </c>
      <c r="H32" s="38">
        <f>F32*((100-G32)/100)</f>
        <v>7.1999999999999995E-2</v>
      </c>
      <c r="I32" s="37">
        <f>H32*4.38</f>
        <v>0.31535999999999997</v>
      </c>
      <c r="J32"/>
    </row>
    <row r="33" spans="1:10" ht="15" x14ac:dyDescent="0.25">
      <c r="A33" s="36" t="s">
        <v>30</v>
      </c>
      <c r="B33" s="35" t="s">
        <v>12</v>
      </c>
      <c r="C33" s="35" t="s">
        <v>12</v>
      </c>
      <c r="D33" s="6">
        <v>0.46</v>
      </c>
      <c r="E33" s="567"/>
      <c r="F33" s="6">
        <f>($E$32/2000)*D33</f>
        <v>0.46</v>
      </c>
      <c r="G33" s="34">
        <v>90</v>
      </c>
      <c r="H33" s="33">
        <f>F33*((100-G33)/100)</f>
        <v>4.6000000000000006E-2</v>
      </c>
      <c r="I33" s="32">
        <f>H33*4.38</f>
        <v>0.20148000000000002</v>
      </c>
      <c r="J33"/>
    </row>
    <row r="34" spans="1:10" ht="15.75" thickBot="1" x14ac:dyDescent="0.3">
      <c r="A34" s="31" t="s">
        <v>29</v>
      </c>
      <c r="B34" s="30" t="s">
        <v>12</v>
      </c>
      <c r="C34" s="30" t="s">
        <v>12</v>
      </c>
      <c r="D34" s="29">
        <v>0.46</v>
      </c>
      <c r="E34" s="568"/>
      <c r="F34" s="29">
        <f>($E$32/2000)*D34</f>
        <v>0.46</v>
      </c>
      <c r="G34" s="28">
        <v>90</v>
      </c>
      <c r="H34" s="27">
        <f>F34*((100-G34)/100)</f>
        <v>4.6000000000000006E-2</v>
      </c>
      <c r="I34" s="26">
        <f>H34*4.38</f>
        <v>0.20148000000000002</v>
      </c>
      <c r="J34"/>
    </row>
    <row r="35" spans="1:10" ht="14.25" thickTop="1" x14ac:dyDescent="0.2">
      <c r="A35" s="25" t="s">
        <v>84</v>
      </c>
      <c r="J35"/>
    </row>
    <row r="36" spans="1:10" ht="14.25" x14ac:dyDescent="0.25">
      <c r="A36" s="25" t="s">
        <v>83</v>
      </c>
      <c r="J36"/>
    </row>
    <row r="37" spans="1:10" ht="14.25" x14ac:dyDescent="0.25">
      <c r="A37" s="25" t="s">
        <v>82</v>
      </c>
      <c r="J37"/>
    </row>
    <row r="38" spans="1:10" ht="13.5" x14ac:dyDescent="0.2">
      <c r="A38" s="25"/>
      <c r="J38"/>
    </row>
    <row r="39" spans="1:10" ht="16.5" thickBot="1" x14ac:dyDescent="0.3">
      <c r="A39" s="572" t="s">
        <v>81</v>
      </c>
      <c r="B39" s="572"/>
      <c r="C39" s="572"/>
      <c r="D39" s="572"/>
      <c r="E39" s="572"/>
      <c r="F39" s="572"/>
      <c r="G39" s="572"/>
      <c r="H39" s="572"/>
      <c r="I39" s="572"/>
      <c r="J39"/>
    </row>
    <row r="40" spans="1:10" ht="26.25" thickTop="1" x14ac:dyDescent="0.2">
      <c r="A40" s="48"/>
      <c r="B40" s="573" t="s">
        <v>39</v>
      </c>
      <c r="C40" s="573"/>
      <c r="D40" s="573"/>
      <c r="E40" s="47" t="s">
        <v>38</v>
      </c>
      <c r="F40" s="46" t="s">
        <v>37</v>
      </c>
      <c r="G40" s="46" t="s">
        <v>36</v>
      </c>
      <c r="H40" s="574" t="s">
        <v>35</v>
      </c>
      <c r="I40" s="575"/>
      <c r="J40"/>
    </row>
    <row r="41" spans="1:10" ht="13.5" thickBot="1" x14ac:dyDescent="0.25">
      <c r="A41" s="45" t="s">
        <v>19</v>
      </c>
      <c r="B41" s="44" t="s">
        <v>34</v>
      </c>
      <c r="C41" s="44" t="s">
        <v>33</v>
      </c>
      <c r="D41" s="44" t="s">
        <v>0</v>
      </c>
      <c r="E41" s="44" t="s">
        <v>21</v>
      </c>
      <c r="F41" s="44" t="s">
        <v>21</v>
      </c>
      <c r="G41" s="44" t="s">
        <v>32</v>
      </c>
      <c r="H41" s="43" t="s">
        <v>21</v>
      </c>
      <c r="I41" s="42" t="s">
        <v>13</v>
      </c>
      <c r="J41"/>
    </row>
    <row r="42" spans="1:10" ht="15" thickTop="1" x14ac:dyDescent="0.2">
      <c r="A42" s="41" t="s">
        <v>31</v>
      </c>
      <c r="B42" s="7">
        <f>0.067/0.2</f>
        <v>0.33500000000000002</v>
      </c>
      <c r="C42" s="40" t="s">
        <v>12</v>
      </c>
      <c r="D42" s="7">
        <f>B42</f>
        <v>0.33500000000000002</v>
      </c>
      <c r="E42" s="582">
        <v>2000</v>
      </c>
      <c r="F42" s="7">
        <f>($E$42/2000)*D42</f>
        <v>0.33500000000000002</v>
      </c>
      <c r="G42" s="39">
        <v>90</v>
      </c>
      <c r="H42" s="38">
        <f>F42*((100-G42)/100)</f>
        <v>3.3500000000000002E-2</v>
      </c>
      <c r="I42" s="37">
        <f>H42*4.38</f>
        <v>0.14673</v>
      </c>
      <c r="J42"/>
    </row>
    <row r="43" spans="1:10" ht="15" x14ac:dyDescent="0.25">
      <c r="A43" s="36" t="s">
        <v>30</v>
      </c>
      <c r="B43" s="6">
        <f>0.85*B42</f>
        <v>0.28475</v>
      </c>
      <c r="C43" s="35" t="s">
        <v>12</v>
      </c>
      <c r="D43" s="6">
        <f>B43</f>
        <v>0.28475</v>
      </c>
      <c r="E43" s="583"/>
      <c r="F43" s="6">
        <f>($E$42/2000)*D43</f>
        <v>0.28475</v>
      </c>
      <c r="G43" s="34">
        <v>90</v>
      </c>
      <c r="H43" s="33">
        <f>F43*((100-G43)/100)</f>
        <v>2.8475E-2</v>
      </c>
      <c r="I43" s="32">
        <f>H43*4.38</f>
        <v>0.1247205</v>
      </c>
      <c r="J43"/>
    </row>
    <row r="44" spans="1:10" ht="15.75" thickBot="1" x14ac:dyDescent="0.3">
      <c r="A44" s="31" t="s">
        <v>29</v>
      </c>
      <c r="B44" s="29">
        <f>B42*0.3</f>
        <v>0.10050000000000001</v>
      </c>
      <c r="C44" s="30" t="s">
        <v>12</v>
      </c>
      <c r="D44" s="29">
        <f>B44</f>
        <v>0.10050000000000001</v>
      </c>
      <c r="E44" s="584"/>
      <c r="F44" s="29">
        <f>($E$42/2000)*D44</f>
        <v>0.10050000000000001</v>
      </c>
      <c r="G44" s="28">
        <v>90</v>
      </c>
      <c r="H44" s="27">
        <f>F44*((100-G44)/100)</f>
        <v>1.0050000000000002E-2</v>
      </c>
      <c r="I44" s="26">
        <f>H44*4.38</f>
        <v>4.401900000000001E-2</v>
      </c>
      <c r="J44"/>
    </row>
    <row r="45" spans="1:10" ht="14.25" thickTop="1" x14ac:dyDescent="0.2">
      <c r="A45" s="25" t="s">
        <v>28</v>
      </c>
      <c r="J45"/>
    </row>
    <row r="46" spans="1:10" ht="14.25" x14ac:dyDescent="0.25">
      <c r="A46" s="25" t="s">
        <v>80</v>
      </c>
      <c r="J46"/>
    </row>
    <row r="47" spans="1:10" ht="14.25" x14ac:dyDescent="0.25">
      <c r="A47" s="25" t="s">
        <v>79</v>
      </c>
      <c r="J47"/>
    </row>
    <row r="48" spans="1:10" ht="13.5" x14ac:dyDescent="0.2">
      <c r="A48" s="25"/>
      <c r="J48"/>
    </row>
    <row r="49" spans="1:10" ht="16.5" thickBot="1" x14ac:dyDescent="0.3">
      <c r="A49" s="585" t="s">
        <v>78</v>
      </c>
      <c r="B49" s="585"/>
      <c r="C49" s="585"/>
      <c r="D49" s="585"/>
      <c r="E49" s="585"/>
      <c r="F49" s="585"/>
      <c r="G49" s="585"/>
      <c r="H49" s="585"/>
      <c r="I49" s="585"/>
      <c r="J49"/>
    </row>
    <row r="50" spans="1:10" ht="39" thickTop="1" x14ac:dyDescent="0.2">
      <c r="C50" s="586" t="s">
        <v>19</v>
      </c>
      <c r="D50" s="587"/>
      <c r="E50" s="24" t="s">
        <v>24</v>
      </c>
      <c r="F50" s="24" t="s">
        <v>23</v>
      </c>
      <c r="G50" s="23" t="s">
        <v>22</v>
      </c>
      <c r="J50"/>
    </row>
    <row r="51" spans="1:10" ht="13.5" thickBot="1" x14ac:dyDescent="0.25">
      <c r="C51" s="588"/>
      <c r="D51" s="589"/>
      <c r="E51" s="22" t="s">
        <v>21</v>
      </c>
      <c r="F51" s="22" t="s">
        <v>13</v>
      </c>
      <c r="G51" s="21" t="s">
        <v>13</v>
      </c>
      <c r="J51"/>
    </row>
    <row r="52" spans="1:10" ht="13.5" thickTop="1" x14ac:dyDescent="0.2">
      <c r="C52" s="593" t="s">
        <v>18</v>
      </c>
      <c r="D52" s="594"/>
      <c r="E52" s="20">
        <f>F9+H20+H32+H42</f>
        <v>1.0555000000000001</v>
      </c>
      <c r="F52" s="20">
        <f>E52*4.38</f>
        <v>4.6230900000000004</v>
      </c>
      <c r="G52" s="19">
        <f>F52</f>
        <v>4.6230900000000004</v>
      </c>
      <c r="J52"/>
    </row>
    <row r="53" spans="1:10" ht="14.25" x14ac:dyDescent="0.25">
      <c r="A53"/>
      <c r="B53"/>
      <c r="C53" s="578" t="s">
        <v>17</v>
      </c>
      <c r="D53" s="579"/>
      <c r="E53" s="20">
        <f>F10+H21+H33+H43</f>
        <v>1.0160750000000001</v>
      </c>
      <c r="F53" s="20">
        <f>E53*4.38</f>
        <v>4.4504085</v>
      </c>
      <c r="G53" s="19">
        <f>F53</f>
        <v>4.4504085</v>
      </c>
      <c r="H53"/>
      <c r="I53"/>
      <c r="J53"/>
    </row>
    <row r="54" spans="1:10" ht="14.25" x14ac:dyDescent="0.25">
      <c r="A54"/>
      <c r="B54"/>
      <c r="C54" s="580" t="s">
        <v>16</v>
      </c>
      <c r="D54" s="581"/>
      <c r="E54" s="148">
        <f>F11+H22+H34+H44</f>
        <v>0.9668500000000001</v>
      </c>
      <c r="F54" s="148">
        <f>E54*4.38</f>
        <v>4.2348030000000003</v>
      </c>
      <c r="G54" s="149">
        <f>F54</f>
        <v>4.2348030000000003</v>
      </c>
      <c r="H54"/>
      <c r="I54"/>
      <c r="J54"/>
    </row>
    <row r="55" spans="1:10" ht="13.5" thickBot="1" x14ac:dyDescent="0.25">
      <c r="A55"/>
      <c r="B55"/>
      <c r="C55" s="576" t="s">
        <v>15</v>
      </c>
      <c r="D55" s="577"/>
      <c r="E55" s="16">
        <f>F12+H23</f>
        <v>0.17</v>
      </c>
      <c r="F55" s="16">
        <f>E55*4.38</f>
        <v>0.74460000000000004</v>
      </c>
      <c r="G55" s="15">
        <f>F55</f>
        <v>0.74460000000000004</v>
      </c>
      <c r="H55"/>
      <c r="I55"/>
      <c r="J55"/>
    </row>
    <row r="56" spans="1:10" ht="13.5" thickTop="1" x14ac:dyDescent="0.2"/>
  </sheetData>
  <mergeCells count="28">
    <mergeCell ref="A1:I1"/>
    <mergeCell ref="A2:I2"/>
    <mergeCell ref="A6:I6"/>
    <mergeCell ref="B7:D7"/>
    <mergeCell ref="F7:G7"/>
    <mergeCell ref="A4:I4"/>
    <mergeCell ref="H30:I30"/>
    <mergeCell ref="A25:I25"/>
    <mergeCell ref="A26:I26"/>
    <mergeCell ref="A17:I17"/>
    <mergeCell ref="B18:D18"/>
    <mergeCell ref="H18:I18"/>
    <mergeCell ref="C55:D55"/>
    <mergeCell ref="C53:D53"/>
    <mergeCell ref="C54:D54"/>
    <mergeCell ref="A3:I3"/>
    <mergeCell ref="A39:I39"/>
    <mergeCell ref="B40:D40"/>
    <mergeCell ref="H40:I40"/>
    <mergeCell ref="E42:E44"/>
    <mergeCell ref="E32:E34"/>
    <mergeCell ref="A49:I49"/>
    <mergeCell ref="C50:D51"/>
    <mergeCell ref="E9:E12"/>
    <mergeCell ref="E20:E23"/>
    <mergeCell ref="C52:D52"/>
    <mergeCell ref="A29:I29"/>
    <mergeCell ref="B30:D30"/>
  </mergeCells>
  <printOptions horizontalCentered="1"/>
  <pageMargins left="0.75" right="0.75" top="1" bottom="1" header="0.5" footer="0.5"/>
  <pageSetup scale="68" orientation="portrait" horizontalDpi="4294967293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view="pageBreakPreview" zoomScale="60" zoomScaleNormal="100" workbookViewId="0">
      <selection activeCell="W28" sqref="W28"/>
    </sheetView>
  </sheetViews>
  <sheetFormatPr defaultRowHeight="12.75" x14ac:dyDescent="0.2"/>
  <cols>
    <col min="1" max="1" width="14.7109375" customWidth="1"/>
    <col min="2" max="4" width="12.7109375" customWidth="1"/>
    <col min="5" max="5" width="10.28515625" customWidth="1"/>
    <col min="6" max="6" width="14.7109375" customWidth="1"/>
    <col min="7" max="7" width="8.85546875" customWidth="1"/>
    <col min="8" max="8" width="11.7109375" customWidth="1"/>
    <col min="9" max="10" width="12.7109375" customWidth="1"/>
    <col min="11" max="11" width="10.85546875" customWidth="1"/>
    <col min="12" max="12" width="17.5703125" customWidth="1"/>
    <col min="13" max="13" width="11.140625" customWidth="1"/>
    <col min="14" max="14" width="11.42578125" customWidth="1"/>
    <col min="15" max="15" width="12.7109375" customWidth="1"/>
  </cols>
  <sheetData>
    <row r="1" spans="1:14" ht="18" x14ac:dyDescent="0.25">
      <c r="A1" s="528" t="s">
        <v>20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</row>
    <row r="2" spans="1:14" ht="15.75" x14ac:dyDescent="0.25">
      <c r="A2" s="529" t="s">
        <v>106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1:14" ht="18.75" x14ac:dyDescent="0.35">
      <c r="A3" s="529" t="s">
        <v>67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</row>
    <row r="4" spans="1:14" ht="15" x14ac:dyDescent="0.2">
      <c r="A4" s="571"/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</row>
    <row r="6" spans="1:14" ht="16.5" thickBot="1" x14ac:dyDescent="0.3">
      <c r="A6" s="572" t="s">
        <v>85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</row>
    <row r="7" spans="1:14" ht="27.75" thickTop="1" x14ac:dyDescent="0.2">
      <c r="A7" s="48"/>
      <c r="B7" s="573" t="s">
        <v>39</v>
      </c>
      <c r="C7" s="573"/>
      <c r="D7" s="573"/>
      <c r="E7" s="47" t="s">
        <v>38</v>
      </c>
      <c r="F7" s="46" t="s">
        <v>37</v>
      </c>
      <c r="G7" s="112" t="s">
        <v>105</v>
      </c>
      <c r="H7" s="46" t="s">
        <v>104</v>
      </c>
      <c r="I7" s="602" t="s">
        <v>35</v>
      </c>
      <c r="J7" s="603"/>
      <c r="K7" s="110" t="s">
        <v>36</v>
      </c>
      <c r="L7" s="109" t="s">
        <v>103</v>
      </c>
      <c r="M7" s="600" t="s">
        <v>35</v>
      </c>
      <c r="N7" s="601"/>
    </row>
    <row r="8" spans="1:14" ht="13.5" thickBot="1" x14ac:dyDescent="0.25">
      <c r="A8" s="45" t="s">
        <v>19</v>
      </c>
      <c r="B8" s="44" t="s">
        <v>34</v>
      </c>
      <c r="C8" s="44" t="s">
        <v>33</v>
      </c>
      <c r="D8" s="44" t="s">
        <v>0</v>
      </c>
      <c r="E8" s="44" t="s">
        <v>21</v>
      </c>
      <c r="F8" s="44" t="s">
        <v>21</v>
      </c>
      <c r="G8" s="9" t="s">
        <v>102</v>
      </c>
      <c r="H8" s="9" t="s">
        <v>101</v>
      </c>
      <c r="I8" s="9" t="s">
        <v>21</v>
      </c>
      <c r="J8" s="108" t="s">
        <v>13</v>
      </c>
      <c r="K8" s="8" t="s">
        <v>32</v>
      </c>
      <c r="L8" s="107" t="s">
        <v>32</v>
      </c>
      <c r="M8" s="43" t="s">
        <v>21</v>
      </c>
      <c r="N8" s="42" t="s">
        <v>13</v>
      </c>
    </row>
    <row r="9" spans="1:14" ht="15" thickTop="1" x14ac:dyDescent="0.2">
      <c r="A9" s="41" t="s">
        <v>100</v>
      </c>
      <c r="B9" s="40" t="s">
        <v>12</v>
      </c>
      <c r="C9" s="40" t="s">
        <v>12</v>
      </c>
      <c r="D9" s="7">
        <v>0.72</v>
      </c>
      <c r="E9" s="582">
        <v>2000</v>
      </c>
      <c r="F9" s="7">
        <f>($E$9/2000)*D9</f>
        <v>0.72</v>
      </c>
      <c r="G9" s="597">
        <v>240</v>
      </c>
      <c r="H9" s="597">
        <v>2E-3</v>
      </c>
      <c r="I9" s="106">
        <f>(H9/7000)*G9*60</f>
        <v>4.1142857142857144E-3</v>
      </c>
      <c r="J9" s="105">
        <f>I9*4.38</f>
        <v>1.8020571428571427E-2</v>
      </c>
      <c r="K9" s="104">
        <f>(F9-I9)/F9</f>
        <v>0.99428571428571422</v>
      </c>
      <c r="L9" s="103">
        <v>0.99</v>
      </c>
      <c r="M9" s="102">
        <f>F9*0.01</f>
        <v>7.1999999999999998E-3</v>
      </c>
      <c r="N9" s="101">
        <f>M9*4.38</f>
        <v>3.1536000000000002E-2</v>
      </c>
    </row>
    <row r="10" spans="1:14" ht="15" x14ac:dyDescent="0.25">
      <c r="A10" s="36" t="s">
        <v>99</v>
      </c>
      <c r="B10" s="35" t="s">
        <v>12</v>
      </c>
      <c r="C10" s="35" t="s">
        <v>12</v>
      </c>
      <c r="D10" s="6">
        <v>0.46</v>
      </c>
      <c r="E10" s="583"/>
      <c r="F10" s="6">
        <f>($E$9/2000)*D10</f>
        <v>0.46</v>
      </c>
      <c r="G10" s="598"/>
      <c r="H10" s="598"/>
      <c r="I10" s="100">
        <f>(H9/7000)*G9*60</f>
        <v>4.1142857142857144E-3</v>
      </c>
      <c r="J10" s="99">
        <f>I10*4.38</f>
        <v>1.8020571428571427E-2</v>
      </c>
      <c r="K10" s="98">
        <f>(F10-I10)/F10</f>
        <v>0.99105590062111792</v>
      </c>
      <c r="L10" s="97">
        <v>0.99</v>
      </c>
      <c r="M10" s="96">
        <f>F10*0.01</f>
        <v>4.5999999999999999E-3</v>
      </c>
      <c r="N10" s="95">
        <f>M10*4.38</f>
        <v>2.0147999999999999E-2</v>
      </c>
    </row>
    <row r="11" spans="1:14" ht="15.75" thickBot="1" x14ac:dyDescent="0.3">
      <c r="A11" s="31" t="s">
        <v>98</v>
      </c>
      <c r="B11" s="30" t="s">
        <v>12</v>
      </c>
      <c r="C11" s="30" t="s">
        <v>12</v>
      </c>
      <c r="D11" s="29">
        <v>0.46</v>
      </c>
      <c r="E11" s="584"/>
      <c r="F11" s="29">
        <f>($E$9/2000)*D11</f>
        <v>0.46</v>
      </c>
      <c r="G11" s="599"/>
      <c r="H11" s="599"/>
      <c r="I11" s="94">
        <f>(H9/7000)*G9*60</f>
        <v>4.1142857142857144E-3</v>
      </c>
      <c r="J11" s="93">
        <f>I11*4.38</f>
        <v>1.8020571428571427E-2</v>
      </c>
      <c r="K11" s="92">
        <f>(F11-I11)/F11</f>
        <v>0.99105590062111792</v>
      </c>
      <c r="L11" s="91">
        <v>0.99</v>
      </c>
      <c r="M11" s="90">
        <f>F11*0.01</f>
        <v>4.5999999999999999E-3</v>
      </c>
      <c r="N11" s="89">
        <f>M11*4.38</f>
        <v>2.0147999999999999E-2</v>
      </c>
    </row>
    <row r="12" spans="1:14" ht="14.25" thickTop="1" x14ac:dyDescent="0.2">
      <c r="A12" s="88" t="s">
        <v>97</v>
      </c>
      <c r="B12" s="87"/>
      <c r="C12" s="87"/>
      <c r="D12" s="86"/>
      <c r="E12" s="85"/>
      <c r="F12" s="86"/>
      <c r="G12" s="85"/>
      <c r="H12" s="85"/>
      <c r="I12" s="84"/>
      <c r="J12" s="84"/>
      <c r="K12" s="83"/>
      <c r="L12" s="151"/>
      <c r="M12" s="84"/>
      <c r="N12" s="84"/>
    </row>
    <row r="13" spans="1:14" ht="13.5" x14ac:dyDescent="0.2">
      <c r="A13" s="25" t="s">
        <v>96</v>
      </c>
    </row>
    <row r="14" spans="1:14" ht="14.25" x14ac:dyDescent="0.25">
      <c r="A14" s="25" t="s">
        <v>95</v>
      </c>
    </row>
    <row r="15" spans="1:14" ht="14.25" x14ac:dyDescent="0.25">
      <c r="A15" s="25" t="s">
        <v>94</v>
      </c>
    </row>
  </sheetData>
  <mergeCells count="11">
    <mergeCell ref="A1:N1"/>
    <mergeCell ref="A2:N2"/>
    <mergeCell ref="A3:N3"/>
    <mergeCell ref="A4:N4"/>
    <mergeCell ref="A6:N6"/>
    <mergeCell ref="E9:E11"/>
    <mergeCell ref="G9:G11"/>
    <mergeCell ref="H9:H11"/>
    <mergeCell ref="M7:N7"/>
    <mergeCell ref="B7:D7"/>
    <mergeCell ref="I7:J7"/>
  </mergeCells>
  <printOptions horizontalCentered="1"/>
  <pageMargins left="0.75" right="0.75" top="1" bottom="1" header="0.5" footer="0.5"/>
  <pageSetup scale="70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60" zoomScaleNormal="100" workbookViewId="0">
      <selection activeCell="W28" sqref="W28"/>
    </sheetView>
  </sheetViews>
  <sheetFormatPr defaultRowHeight="12.75" x14ac:dyDescent="0.2"/>
  <cols>
    <col min="1" max="1" width="14.7109375" customWidth="1"/>
    <col min="2" max="4" width="12.7109375" customWidth="1"/>
    <col min="5" max="5" width="10.28515625" customWidth="1"/>
    <col min="6" max="6" width="14.7109375" customWidth="1"/>
    <col min="7" max="7" width="8.85546875" customWidth="1"/>
    <col min="8" max="8" width="11.7109375" customWidth="1"/>
    <col min="9" max="10" width="12.7109375" customWidth="1"/>
    <col min="11" max="11" width="10.85546875" customWidth="1"/>
    <col min="12" max="12" width="17.5703125" customWidth="1"/>
    <col min="13" max="13" width="11.140625" customWidth="1"/>
    <col min="14" max="14" width="11.42578125" customWidth="1"/>
    <col min="16" max="16" width="9.28515625" customWidth="1"/>
  </cols>
  <sheetData>
    <row r="1" spans="1:14" ht="18" x14ac:dyDescent="0.25">
      <c r="A1" s="528" t="s">
        <v>20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</row>
    <row r="2" spans="1:14" ht="15.75" x14ac:dyDescent="0.25">
      <c r="A2" s="529" t="s">
        <v>278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1:14" ht="18.75" x14ac:dyDescent="0.35">
      <c r="A3" s="529" t="s">
        <v>67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</row>
    <row r="4" spans="1:14" ht="15" x14ac:dyDescent="0.2">
      <c r="A4" s="571"/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</row>
    <row r="6" spans="1:14" ht="16.5" thickBot="1" x14ac:dyDescent="0.3">
      <c r="A6" s="572" t="s">
        <v>109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</row>
    <row r="7" spans="1:14" ht="27.75" thickTop="1" x14ac:dyDescent="0.2">
      <c r="A7" s="125"/>
      <c r="B7" s="526" t="s">
        <v>39</v>
      </c>
      <c r="C7" s="526"/>
      <c r="D7" s="526"/>
      <c r="E7" s="124" t="s">
        <v>38</v>
      </c>
      <c r="F7" s="123" t="s">
        <v>37</v>
      </c>
      <c r="G7" s="111" t="s">
        <v>105</v>
      </c>
      <c r="H7" s="46" t="s">
        <v>104</v>
      </c>
      <c r="I7" s="602" t="s">
        <v>35</v>
      </c>
      <c r="J7" s="603"/>
      <c r="K7" s="110" t="s">
        <v>36</v>
      </c>
      <c r="L7" s="109" t="s">
        <v>103</v>
      </c>
      <c r="M7" s="600" t="s">
        <v>35</v>
      </c>
      <c r="N7" s="601"/>
    </row>
    <row r="8" spans="1:14" ht="13.5" thickBot="1" x14ac:dyDescent="0.25">
      <c r="A8" s="122" t="s">
        <v>19</v>
      </c>
      <c r="B8" s="9" t="s">
        <v>34</v>
      </c>
      <c r="C8" s="9" t="s">
        <v>33</v>
      </c>
      <c r="D8" s="9" t="s">
        <v>0</v>
      </c>
      <c r="E8" s="9" t="s">
        <v>21</v>
      </c>
      <c r="F8" s="9" t="s">
        <v>21</v>
      </c>
      <c r="G8" s="9" t="s">
        <v>102</v>
      </c>
      <c r="H8" s="9" t="s">
        <v>101</v>
      </c>
      <c r="I8" s="9" t="s">
        <v>21</v>
      </c>
      <c r="J8" s="108" t="s">
        <v>13</v>
      </c>
      <c r="K8" s="8" t="s">
        <v>32</v>
      </c>
      <c r="L8" s="107" t="s">
        <v>32</v>
      </c>
      <c r="M8" s="43" t="s">
        <v>21</v>
      </c>
      <c r="N8" s="42" t="s">
        <v>13</v>
      </c>
    </row>
    <row r="9" spans="1:14" ht="15" thickTop="1" x14ac:dyDescent="0.2">
      <c r="A9" s="41" t="s">
        <v>100</v>
      </c>
      <c r="B9" s="121" t="s">
        <v>12</v>
      </c>
      <c r="C9" s="121" t="s">
        <v>12</v>
      </c>
      <c r="D9" s="120">
        <v>0.72</v>
      </c>
      <c r="E9" s="604">
        <v>20000</v>
      </c>
      <c r="F9" s="120">
        <f>($E$9/2000)*D9</f>
        <v>7.1999999999999993</v>
      </c>
      <c r="G9" s="607">
        <v>566</v>
      </c>
      <c r="H9" s="607">
        <v>2E-3</v>
      </c>
      <c r="I9" s="106">
        <f>(H9/7000)*G9*60</f>
        <v>9.7028571428571415E-3</v>
      </c>
      <c r="J9" s="105">
        <f>I9*4.38</f>
        <v>4.249851428571428E-2</v>
      </c>
      <c r="K9" s="104">
        <f>(F9-I9)/F9</f>
        <v>0.99865238095238096</v>
      </c>
      <c r="L9" s="103">
        <v>0.99</v>
      </c>
      <c r="M9" s="102">
        <f>F9*0.01</f>
        <v>7.1999999999999995E-2</v>
      </c>
      <c r="N9" s="101">
        <f>M9*4.38</f>
        <v>0.31535999999999997</v>
      </c>
    </row>
    <row r="10" spans="1:14" ht="15" x14ac:dyDescent="0.25">
      <c r="A10" s="36" t="s">
        <v>99</v>
      </c>
      <c r="B10" s="119" t="s">
        <v>12</v>
      </c>
      <c r="C10" s="119" t="s">
        <v>12</v>
      </c>
      <c r="D10" s="118">
        <v>0.46</v>
      </c>
      <c r="E10" s="605"/>
      <c r="F10" s="118">
        <f>($E$9/2000)*D10</f>
        <v>4.6000000000000005</v>
      </c>
      <c r="G10" s="608"/>
      <c r="H10" s="608"/>
      <c r="I10" s="100">
        <f>(H9/7000)*G9*60</f>
        <v>9.7028571428571415E-3</v>
      </c>
      <c r="J10" s="99">
        <f>I10*4.38</f>
        <v>4.249851428571428E-2</v>
      </c>
      <c r="K10" s="98">
        <f>(F10-I10)/F10</f>
        <v>0.99789068322981367</v>
      </c>
      <c r="L10" s="97">
        <v>0.99</v>
      </c>
      <c r="M10" s="96">
        <f>F10*0.01</f>
        <v>4.6000000000000006E-2</v>
      </c>
      <c r="N10" s="95">
        <f>M10*4.38</f>
        <v>0.20148000000000002</v>
      </c>
    </row>
    <row r="11" spans="1:14" ht="15.75" thickBot="1" x14ac:dyDescent="0.3">
      <c r="A11" s="31" t="s">
        <v>98</v>
      </c>
      <c r="B11" s="117" t="s">
        <v>12</v>
      </c>
      <c r="C11" s="117" t="s">
        <v>12</v>
      </c>
      <c r="D11" s="116">
        <v>0.46</v>
      </c>
      <c r="E11" s="606"/>
      <c r="F11" s="116">
        <f>($E$9/2000)*D11</f>
        <v>4.6000000000000005</v>
      </c>
      <c r="G11" s="609"/>
      <c r="H11" s="609"/>
      <c r="I11" s="94">
        <f>(H9/7000)*G9*60</f>
        <v>9.7028571428571415E-3</v>
      </c>
      <c r="J11" s="93">
        <f>I11*4.38</f>
        <v>4.249851428571428E-2</v>
      </c>
      <c r="K11" s="92">
        <f>(F11-I11)/F11</f>
        <v>0.99789068322981367</v>
      </c>
      <c r="L11" s="91">
        <v>0.99</v>
      </c>
      <c r="M11" s="90">
        <f>F11*0.01</f>
        <v>4.6000000000000006E-2</v>
      </c>
      <c r="N11" s="89">
        <f>M11*4.38</f>
        <v>0.20148000000000002</v>
      </c>
    </row>
    <row r="12" spans="1:14" ht="14.25" thickTop="1" x14ac:dyDescent="0.2">
      <c r="A12" s="88" t="s">
        <v>97</v>
      </c>
      <c r="B12" s="115"/>
      <c r="C12" s="115"/>
      <c r="D12" s="114"/>
      <c r="E12" s="113"/>
      <c r="F12" s="114"/>
      <c r="G12" s="113"/>
      <c r="H12" s="113"/>
      <c r="I12" s="84"/>
      <c r="J12" s="84"/>
      <c r="K12" s="83"/>
      <c r="L12" s="151"/>
      <c r="M12" s="84"/>
      <c r="N12" s="84"/>
    </row>
    <row r="13" spans="1:14" ht="13.5" x14ac:dyDescent="0.2">
      <c r="A13" s="25" t="s">
        <v>96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4" ht="14.25" x14ac:dyDescent="0.25">
      <c r="A14" s="25" t="s">
        <v>95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4" ht="14.25" x14ac:dyDescent="0.25">
      <c r="A15" s="25" t="s">
        <v>94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4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4" ht="16.5" thickBot="1" x14ac:dyDescent="0.3">
      <c r="A17" s="610" t="s">
        <v>108</v>
      </c>
      <c r="B17" s="610"/>
      <c r="C17" s="610"/>
      <c r="D17" s="610"/>
      <c r="E17" s="610"/>
      <c r="F17" s="610"/>
      <c r="G17" s="610"/>
      <c r="H17" s="610"/>
      <c r="I17" s="610"/>
      <c r="J17" s="610"/>
      <c r="K17" s="610"/>
      <c r="L17" s="610"/>
      <c r="M17" s="610"/>
      <c r="N17" s="610"/>
    </row>
    <row r="18" spans="1:14" ht="27.75" thickTop="1" x14ac:dyDescent="0.2">
      <c r="A18" s="125"/>
      <c r="B18" s="526" t="s">
        <v>39</v>
      </c>
      <c r="C18" s="526"/>
      <c r="D18" s="526"/>
      <c r="E18" s="124" t="s">
        <v>38</v>
      </c>
      <c r="F18" s="123" t="s">
        <v>37</v>
      </c>
      <c r="G18" s="111" t="s">
        <v>105</v>
      </c>
      <c r="H18" s="46" t="s">
        <v>104</v>
      </c>
      <c r="I18" s="602" t="s">
        <v>35</v>
      </c>
      <c r="J18" s="603"/>
      <c r="K18" s="110" t="s">
        <v>36</v>
      </c>
      <c r="L18" s="109" t="s">
        <v>103</v>
      </c>
      <c r="M18" s="600" t="s">
        <v>35</v>
      </c>
      <c r="N18" s="601"/>
    </row>
    <row r="19" spans="1:14" ht="13.5" thickBot="1" x14ac:dyDescent="0.25">
      <c r="A19" s="122" t="s">
        <v>19</v>
      </c>
      <c r="B19" s="9" t="s">
        <v>34</v>
      </c>
      <c r="C19" s="9" t="s">
        <v>33</v>
      </c>
      <c r="D19" s="9" t="s">
        <v>0</v>
      </c>
      <c r="E19" s="9" t="s">
        <v>21</v>
      </c>
      <c r="F19" s="9" t="s">
        <v>21</v>
      </c>
      <c r="G19" s="9" t="s">
        <v>102</v>
      </c>
      <c r="H19" s="9" t="s">
        <v>101</v>
      </c>
      <c r="I19" s="9" t="s">
        <v>21</v>
      </c>
      <c r="J19" s="108" t="s">
        <v>13</v>
      </c>
      <c r="K19" s="8" t="s">
        <v>32</v>
      </c>
      <c r="L19" s="107" t="s">
        <v>32</v>
      </c>
      <c r="M19" s="43" t="s">
        <v>21</v>
      </c>
      <c r="N19" s="42" t="s">
        <v>13</v>
      </c>
    </row>
    <row r="20" spans="1:14" ht="15" thickTop="1" x14ac:dyDescent="0.2">
      <c r="A20" s="41" t="s">
        <v>100</v>
      </c>
      <c r="B20" s="121" t="s">
        <v>12</v>
      </c>
      <c r="C20" s="121" t="s">
        <v>12</v>
      </c>
      <c r="D20" s="120">
        <v>0.72</v>
      </c>
      <c r="E20" s="604">
        <v>20000</v>
      </c>
      <c r="F20" s="120">
        <f>($E$20/2000)*D20</f>
        <v>7.1999999999999993</v>
      </c>
      <c r="G20" s="607">
        <v>566</v>
      </c>
      <c r="H20" s="607">
        <v>2E-3</v>
      </c>
      <c r="I20" s="106">
        <f>(H20/7000)*G20*60</f>
        <v>9.7028571428571415E-3</v>
      </c>
      <c r="J20" s="105">
        <f>I20*4.38</f>
        <v>4.249851428571428E-2</v>
      </c>
      <c r="K20" s="104">
        <f>(F20-I20)/F20</f>
        <v>0.99865238095238096</v>
      </c>
      <c r="L20" s="103">
        <v>0.99</v>
      </c>
      <c r="M20" s="102">
        <f>F20*0.01</f>
        <v>7.1999999999999995E-2</v>
      </c>
      <c r="N20" s="101">
        <f>M20*4.38</f>
        <v>0.31535999999999997</v>
      </c>
    </row>
    <row r="21" spans="1:14" ht="15" x14ac:dyDescent="0.25">
      <c r="A21" s="36" t="s">
        <v>99</v>
      </c>
      <c r="B21" s="119" t="s">
        <v>12</v>
      </c>
      <c r="C21" s="119" t="s">
        <v>12</v>
      </c>
      <c r="D21" s="118">
        <v>0.46</v>
      </c>
      <c r="E21" s="605"/>
      <c r="F21" s="118">
        <f>($E$20/2000)*D21</f>
        <v>4.6000000000000005</v>
      </c>
      <c r="G21" s="608"/>
      <c r="H21" s="608"/>
      <c r="I21" s="100">
        <f>(H20/7000)*G20*60</f>
        <v>9.7028571428571415E-3</v>
      </c>
      <c r="J21" s="99">
        <f>I21*4.38</f>
        <v>4.249851428571428E-2</v>
      </c>
      <c r="K21" s="98">
        <f>(F21-I21)/F21</f>
        <v>0.99789068322981367</v>
      </c>
      <c r="L21" s="97">
        <v>0.99</v>
      </c>
      <c r="M21" s="96">
        <f>F21*0.01</f>
        <v>4.6000000000000006E-2</v>
      </c>
      <c r="N21" s="95">
        <f>M21*4.38</f>
        <v>0.20148000000000002</v>
      </c>
    </row>
    <row r="22" spans="1:14" ht="15.75" thickBot="1" x14ac:dyDescent="0.3">
      <c r="A22" s="31" t="s">
        <v>98</v>
      </c>
      <c r="B22" s="117" t="s">
        <v>12</v>
      </c>
      <c r="C22" s="117" t="s">
        <v>12</v>
      </c>
      <c r="D22" s="116">
        <v>0.46</v>
      </c>
      <c r="E22" s="606"/>
      <c r="F22" s="116">
        <f>($E$20/2000)*D22</f>
        <v>4.6000000000000005</v>
      </c>
      <c r="G22" s="609"/>
      <c r="H22" s="609"/>
      <c r="I22" s="94">
        <f>(H20/7000)*G20*60</f>
        <v>9.7028571428571415E-3</v>
      </c>
      <c r="J22" s="93">
        <f>I22*4.38</f>
        <v>4.249851428571428E-2</v>
      </c>
      <c r="K22" s="92">
        <f>(F22-I22)/F22</f>
        <v>0.99789068322981367</v>
      </c>
      <c r="L22" s="91">
        <v>0.99</v>
      </c>
      <c r="M22" s="90">
        <f>F22*0.01</f>
        <v>4.6000000000000006E-2</v>
      </c>
      <c r="N22" s="89">
        <f>M22*4.38</f>
        <v>0.20148000000000002</v>
      </c>
    </row>
    <row r="23" spans="1:14" ht="14.25" thickTop="1" x14ac:dyDescent="0.2">
      <c r="A23" s="88" t="s">
        <v>97</v>
      </c>
      <c r="B23" s="115"/>
      <c r="C23" s="115"/>
      <c r="D23" s="114"/>
      <c r="E23" s="113"/>
      <c r="F23" s="114"/>
      <c r="G23" s="113"/>
      <c r="H23" s="113"/>
      <c r="I23" s="84"/>
      <c r="J23" s="84"/>
      <c r="K23" s="83"/>
      <c r="L23" s="151"/>
      <c r="M23" s="84"/>
      <c r="N23" s="84"/>
    </row>
    <row r="24" spans="1:14" ht="13.5" x14ac:dyDescent="0.2">
      <c r="A24" s="25" t="s">
        <v>96</v>
      </c>
    </row>
    <row r="25" spans="1:14" ht="14.25" x14ac:dyDescent="0.25">
      <c r="A25" s="25" t="s">
        <v>95</v>
      </c>
    </row>
    <row r="26" spans="1:14" ht="14.25" x14ac:dyDescent="0.25">
      <c r="A26" s="25" t="s">
        <v>94</v>
      </c>
    </row>
  </sheetData>
  <mergeCells count="18">
    <mergeCell ref="A1:N1"/>
    <mergeCell ref="A2:N2"/>
    <mergeCell ref="A3:N3"/>
    <mergeCell ref="A4:N4"/>
    <mergeCell ref="M7:N7"/>
    <mergeCell ref="A6:N6"/>
    <mergeCell ref="E20:E22"/>
    <mergeCell ref="G20:G22"/>
    <mergeCell ref="H20:H22"/>
    <mergeCell ref="B7:D7"/>
    <mergeCell ref="E9:E11"/>
    <mergeCell ref="G9:G11"/>
    <mergeCell ref="H9:H11"/>
    <mergeCell ref="A17:N17"/>
    <mergeCell ref="B18:D18"/>
    <mergeCell ref="I18:J18"/>
    <mergeCell ref="I7:J7"/>
    <mergeCell ref="M18:N18"/>
  </mergeCells>
  <printOptions horizontalCentered="1"/>
  <pageMargins left="0.75" right="0.75" top="1" bottom="1" header="0.5" footer="0.5"/>
  <pageSetup scale="7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topLeftCell="A28" zoomScale="60" zoomScaleNormal="100" workbookViewId="0">
      <selection activeCell="W28" sqref="W28"/>
    </sheetView>
  </sheetViews>
  <sheetFormatPr defaultRowHeight="12.75" x14ac:dyDescent="0.2"/>
  <cols>
    <col min="1" max="9" width="14.7109375" customWidth="1"/>
    <col min="12" max="12" width="10" bestFit="1" customWidth="1"/>
  </cols>
  <sheetData>
    <row r="1" spans="1:9" ht="18" x14ac:dyDescent="0.25">
      <c r="A1" s="528" t="s">
        <v>20</v>
      </c>
      <c r="B1" s="528"/>
      <c r="C1" s="528"/>
      <c r="D1" s="528"/>
      <c r="E1" s="528"/>
      <c r="F1" s="528"/>
      <c r="G1" s="528"/>
      <c r="H1" s="528"/>
      <c r="I1" s="528"/>
    </row>
    <row r="2" spans="1:9" ht="15.75" x14ac:dyDescent="0.25">
      <c r="A2" s="529" t="s">
        <v>114</v>
      </c>
      <c r="B2" s="529"/>
      <c r="C2" s="529"/>
      <c r="D2" s="529"/>
      <c r="E2" s="529"/>
      <c r="F2" s="529"/>
      <c r="G2" s="529"/>
      <c r="H2" s="529"/>
      <c r="I2" s="529"/>
    </row>
    <row r="3" spans="1:9" ht="18.75" x14ac:dyDescent="0.35">
      <c r="A3" s="529" t="s">
        <v>67</v>
      </c>
      <c r="B3" s="529"/>
      <c r="C3" s="529"/>
      <c r="D3" s="529"/>
      <c r="E3" s="529"/>
      <c r="F3" s="529"/>
      <c r="G3" s="529"/>
      <c r="H3" s="529"/>
      <c r="I3" s="529"/>
    </row>
    <row r="4" spans="1:9" ht="15" x14ac:dyDescent="0.2">
      <c r="A4" s="571"/>
      <c r="B4" s="571"/>
      <c r="C4" s="571"/>
      <c r="D4" s="571"/>
      <c r="E4" s="571"/>
      <c r="F4" s="571"/>
      <c r="G4" s="571"/>
      <c r="H4" s="571"/>
      <c r="I4" s="571"/>
    </row>
    <row r="6" spans="1:9" ht="16.5" thickBot="1" x14ac:dyDescent="0.3">
      <c r="A6" s="572" t="s">
        <v>113</v>
      </c>
      <c r="B6" s="572"/>
      <c r="C6" s="572"/>
      <c r="D6" s="572"/>
      <c r="E6" s="572"/>
      <c r="F6" s="572"/>
      <c r="G6" s="572"/>
      <c r="H6" s="572"/>
      <c r="I6" s="572"/>
    </row>
    <row r="7" spans="1:9" ht="26.25" thickTop="1" x14ac:dyDescent="0.2">
      <c r="A7" s="48"/>
      <c r="B7" s="573" t="s">
        <v>39</v>
      </c>
      <c r="C7" s="573"/>
      <c r="D7" s="573"/>
      <c r="E7" s="47" t="s">
        <v>38</v>
      </c>
      <c r="F7" s="46" t="s">
        <v>37</v>
      </c>
      <c r="G7" s="46" t="s">
        <v>36</v>
      </c>
      <c r="H7" s="574" t="s">
        <v>35</v>
      </c>
      <c r="I7" s="575"/>
    </row>
    <row r="8" spans="1:9" ht="13.5" thickBot="1" x14ac:dyDescent="0.25">
      <c r="A8" s="45" t="s">
        <v>19</v>
      </c>
      <c r="B8" s="44" t="s">
        <v>34</v>
      </c>
      <c r="C8" s="44" t="s">
        <v>33</v>
      </c>
      <c r="D8" s="44" t="s">
        <v>0</v>
      </c>
      <c r="E8" s="44" t="s">
        <v>21</v>
      </c>
      <c r="F8" s="44" t="s">
        <v>21</v>
      </c>
      <c r="G8" s="44" t="s">
        <v>32</v>
      </c>
      <c r="H8" s="43" t="s">
        <v>21</v>
      </c>
      <c r="I8" s="42" t="s">
        <v>13</v>
      </c>
    </row>
    <row r="9" spans="1:9" ht="15" thickTop="1" x14ac:dyDescent="0.2">
      <c r="A9" s="41" t="s">
        <v>31</v>
      </c>
      <c r="B9" s="7">
        <f>0.067/0.2</f>
        <v>0.33500000000000002</v>
      </c>
      <c r="C9" s="40" t="s">
        <v>12</v>
      </c>
      <c r="D9" s="7">
        <f>B9</f>
        <v>0.33500000000000002</v>
      </c>
      <c r="E9" s="582">
        <v>20000</v>
      </c>
      <c r="F9" s="7">
        <f>($E$9/2000)*D9</f>
        <v>3.35</v>
      </c>
      <c r="G9" s="39">
        <v>90</v>
      </c>
      <c r="H9" s="38">
        <f>F9*((100-G9)/100)</f>
        <v>0.33500000000000002</v>
      </c>
      <c r="I9" s="37">
        <f>H9*4.38</f>
        <v>1.4673</v>
      </c>
    </row>
    <row r="10" spans="1:9" ht="15" x14ac:dyDescent="0.25">
      <c r="A10" s="36" t="s">
        <v>30</v>
      </c>
      <c r="B10" s="6">
        <f>0.85*B9</f>
        <v>0.28475</v>
      </c>
      <c r="C10" s="35" t="s">
        <v>12</v>
      </c>
      <c r="D10" s="6">
        <f>B10</f>
        <v>0.28475</v>
      </c>
      <c r="E10" s="583"/>
      <c r="F10" s="6">
        <f>($E$9/2000)*D10</f>
        <v>2.8475000000000001</v>
      </c>
      <c r="G10" s="34">
        <v>90</v>
      </c>
      <c r="H10" s="33">
        <f>F10*((100-G10)/100)</f>
        <v>0.28475</v>
      </c>
      <c r="I10" s="32">
        <f>H10*4.38</f>
        <v>1.2472049999999999</v>
      </c>
    </row>
    <row r="11" spans="1:9" ht="15.75" thickBot="1" x14ac:dyDescent="0.3">
      <c r="A11" s="31" t="s">
        <v>29</v>
      </c>
      <c r="B11" s="29">
        <f>B9*0.3</f>
        <v>0.10050000000000001</v>
      </c>
      <c r="C11" s="30" t="s">
        <v>12</v>
      </c>
      <c r="D11" s="29">
        <f>B11</f>
        <v>0.10050000000000001</v>
      </c>
      <c r="E11" s="584"/>
      <c r="F11" s="29">
        <f>($E$9/2000)*D11</f>
        <v>1.0050000000000001</v>
      </c>
      <c r="G11" s="28">
        <v>90</v>
      </c>
      <c r="H11" s="27">
        <f>F11*((100-G11)/100)</f>
        <v>0.10050000000000002</v>
      </c>
      <c r="I11" s="26">
        <f>H11*4.38</f>
        <v>0.44019000000000008</v>
      </c>
    </row>
    <row r="12" spans="1:9" ht="14.25" thickTop="1" x14ac:dyDescent="0.2">
      <c r="A12" s="25" t="s">
        <v>28</v>
      </c>
      <c r="B12" s="1"/>
      <c r="C12" s="1"/>
      <c r="D12" s="1"/>
      <c r="E12" s="1"/>
      <c r="F12" s="1"/>
      <c r="G12" s="1"/>
      <c r="H12" s="1"/>
      <c r="I12" s="1"/>
    </row>
    <row r="13" spans="1:9" ht="14.25" x14ac:dyDescent="0.25">
      <c r="A13" s="25" t="s">
        <v>80</v>
      </c>
      <c r="B13" s="1"/>
      <c r="C13" s="1"/>
      <c r="D13" s="1"/>
      <c r="E13" s="1"/>
      <c r="F13" s="1"/>
      <c r="G13" s="1"/>
      <c r="H13" s="1"/>
      <c r="I13" s="1"/>
    </row>
    <row r="14" spans="1:9" ht="14.25" x14ac:dyDescent="0.25">
      <c r="A14" s="25" t="s">
        <v>79</v>
      </c>
      <c r="B14" s="1"/>
      <c r="C14" s="1"/>
      <c r="D14" s="1"/>
      <c r="E14" s="1"/>
      <c r="F14" s="1"/>
      <c r="G14" s="1"/>
      <c r="H14" s="1"/>
      <c r="I14" s="1"/>
    </row>
    <row r="16" spans="1:9" ht="16.5" thickBot="1" x14ac:dyDescent="0.3">
      <c r="A16" s="572" t="s">
        <v>112</v>
      </c>
      <c r="B16" s="572"/>
      <c r="C16" s="572"/>
      <c r="D16" s="572"/>
      <c r="E16" s="572"/>
      <c r="F16" s="572"/>
      <c r="G16" s="572"/>
      <c r="H16" s="572"/>
      <c r="I16" s="572"/>
    </row>
    <row r="17" spans="1:12" ht="26.25" thickTop="1" x14ac:dyDescent="0.2">
      <c r="A17" s="48"/>
      <c r="B17" s="573" t="s">
        <v>39</v>
      </c>
      <c r="C17" s="573"/>
      <c r="D17" s="573"/>
      <c r="E17" s="47" t="s">
        <v>38</v>
      </c>
      <c r="F17" s="46" t="s">
        <v>37</v>
      </c>
      <c r="G17" s="46" t="s">
        <v>36</v>
      </c>
      <c r="H17" s="574" t="s">
        <v>35</v>
      </c>
      <c r="I17" s="575"/>
    </row>
    <row r="18" spans="1:12" ht="13.5" thickBot="1" x14ac:dyDescent="0.25">
      <c r="A18" s="45" t="s">
        <v>19</v>
      </c>
      <c r="B18" s="44" t="s">
        <v>34</v>
      </c>
      <c r="C18" s="44" t="s">
        <v>33</v>
      </c>
      <c r="D18" s="44" t="s">
        <v>0</v>
      </c>
      <c r="E18" s="44" t="s">
        <v>21</v>
      </c>
      <c r="F18" s="44" t="s">
        <v>21</v>
      </c>
      <c r="G18" s="44" t="s">
        <v>32</v>
      </c>
      <c r="H18" s="43" t="s">
        <v>21</v>
      </c>
      <c r="I18" s="42" t="s">
        <v>13</v>
      </c>
    </row>
    <row r="19" spans="1:12" ht="15" thickTop="1" x14ac:dyDescent="0.2">
      <c r="A19" s="41" t="s">
        <v>31</v>
      </c>
      <c r="B19" s="7">
        <v>0.56000000000000005</v>
      </c>
      <c r="C19" s="7">
        <v>0.24</v>
      </c>
      <c r="D19" s="7">
        <f>B19+C19</f>
        <v>0.8</v>
      </c>
      <c r="E19" s="566">
        <v>25000</v>
      </c>
      <c r="F19" s="7">
        <f>($E$19/2000)*D19</f>
        <v>10</v>
      </c>
      <c r="G19" s="39">
        <v>90</v>
      </c>
      <c r="H19" s="38">
        <f>F19*((100-G19)/100)</f>
        <v>1</v>
      </c>
      <c r="I19" s="37">
        <f>H19*4.38</f>
        <v>4.38</v>
      </c>
    </row>
    <row r="20" spans="1:12" ht="15" x14ac:dyDescent="0.25">
      <c r="A20" s="36" t="s">
        <v>30</v>
      </c>
      <c r="B20" s="6">
        <f>0.85*B19</f>
        <v>0.47600000000000003</v>
      </c>
      <c r="C20" s="6">
        <v>0.24</v>
      </c>
      <c r="D20" s="6">
        <f>B20+C20</f>
        <v>0.71599999999999997</v>
      </c>
      <c r="E20" s="567"/>
      <c r="F20" s="6">
        <f>($E$19/2000)*D20</f>
        <v>8.9499999999999993</v>
      </c>
      <c r="G20" s="34">
        <v>90</v>
      </c>
      <c r="H20" s="33">
        <f>F20*((100-G20)/100)</f>
        <v>0.89500000000000002</v>
      </c>
      <c r="I20" s="32">
        <f>H20*4.38</f>
        <v>3.9201000000000001</v>
      </c>
    </row>
    <row r="21" spans="1:12" ht="15" x14ac:dyDescent="0.25">
      <c r="A21" s="156" t="s">
        <v>29</v>
      </c>
      <c r="B21" s="5">
        <f>B19*0.3</f>
        <v>0.16800000000000001</v>
      </c>
      <c r="C21" s="5">
        <v>0.24</v>
      </c>
      <c r="D21" s="5">
        <f>B21+C21</f>
        <v>0.40800000000000003</v>
      </c>
      <c r="E21" s="567"/>
      <c r="F21" s="5">
        <f>($E$19/2000)*D21</f>
        <v>5.1000000000000005</v>
      </c>
      <c r="G21" s="153">
        <v>90</v>
      </c>
      <c r="H21" s="154">
        <f>F21*((100-G21)/100)</f>
        <v>0.51000000000000012</v>
      </c>
      <c r="I21" s="155">
        <f>H21*4.38</f>
        <v>2.2338000000000005</v>
      </c>
    </row>
    <row r="22" spans="1:12" ht="15" thickBot="1" x14ac:dyDescent="0.25">
      <c r="A22" s="31" t="s">
        <v>44</v>
      </c>
      <c r="B22" s="53" t="s">
        <v>256</v>
      </c>
      <c r="C22" s="53" t="s">
        <v>256</v>
      </c>
      <c r="D22" s="162">
        <v>8.5150000000000003E-2</v>
      </c>
      <c r="E22" s="568"/>
      <c r="F22" s="29">
        <f>($E$19/2000)*D22</f>
        <v>1.0643750000000001</v>
      </c>
      <c r="G22" s="28" t="s">
        <v>256</v>
      </c>
      <c r="H22" s="27">
        <f>F22</f>
        <v>1.0643750000000001</v>
      </c>
      <c r="I22" s="26">
        <f>H22*4.38</f>
        <v>4.6619625000000005</v>
      </c>
      <c r="L22" s="152"/>
    </row>
    <row r="23" spans="1:12" ht="14.25" thickTop="1" x14ac:dyDescent="0.2">
      <c r="A23" s="25" t="s">
        <v>43</v>
      </c>
      <c r="B23" s="1"/>
      <c r="C23" s="1"/>
      <c r="D23" s="1"/>
      <c r="E23" s="1"/>
      <c r="F23" s="1"/>
      <c r="G23" s="1"/>
      <c r="H23" s="1"/>
      <c r="I23" s="1"/>
    </row>
    <row r="24" spans="1:12" ht="28.5" customHeight="1" x14ac:dyDescent="0.2">
      <c r="A24" s="561" t="s">
        <v>46</v>
      </c>
      <c r="B24" s="561"/>
      <c r="C24" s="561"/>
      <c r="D24" s="561"/>
      <c r="E24" s="561"/>
      <c r="F24" s="561"/>
      <c r="G24" s="561"/>
      <c r="H24" s="561"/>
      <c r="I24" s="561"/>
    </row>
    <row r="25" spans="1:12" ht="28.5" customHeight="1" x14ac:dyDescent="0.2">
      <c r="A25" s="561" t="s">
        <v>45</v>
      </c>
      <c r="B25" s="561"/>
      <c r="C25" s="561"/>
      <c r="D25" s="561"/>
      <c r="E25" s="561"/>
      <c r="F25" s="561"/>
      <c r="G25" s="561"/>
      <c r="H25" s="561"/>
      <c r="I25" s="561"/>
    </row>
    <row r="26" spans="1:12" ht="13.5" x14ac:dyDescent="0.2">
      <c r="A26" s="25" t="s">
        <v>264</v>
      </c>
      <c r="B26" s="127"/>
      <c r="C26" s="127"/>
      <c r="D26" s="127"/>
      <c r="E26" s="127"/>
      <c r="F26" s="127"/>
      <c r="G26" s="127"/>
      <c r="H26" s="127"/>
      <c r="I26" s="127"/>
    </row>
    <row r="28" spans="1:12" ht="16.5" thickBot="1" x14ac:dyDescent="0.3">
      <c r="A28" s="572" t="s">
        <v>111</v>
      </c>
      <c r="B28" s="572"/>
      <c r="C28" s="572"/>
      <c r="D28" s="572"/>
      <c r="E28" s="572"/>
      <c r="F28" s="572"/>
      <c r="G28" s="572"/>
      <c r="H28" s="572"/>
      <c r="I28" s="572"/>
    </row>
    <row r="29" spans="1:12" ht="26.25" thickTop="1" x14ac:dyDescent="0.2">
      <c r="A29" s="48"/>
      <c r="B29" s="573" t="s">
        <v>39</v>
      </c>
      <c r="C29" s="573"/>
      <c r="D29" s="573"/>
      <c r="E29" s="47" t="s">
        <v>38</v>
      </c>
      <c r="F29" s="46" t="s">
        <v>37</v>
      </c>
      <c r="G29" s="46" t="s">
        <v>36</v>
      </c>
      <c r="H29" s="574" t="s">
        <v>35</v>
      </c>
      <c r="I29" s="575"/>
    </row>
    <row r="30" spans="1:12" ht="13.5" thickBot="1" x14ac:dyDescent="0.25">
      <c r="A30" s="45" t="s">
        <v>19</v>
      </c>
      <c r="B30" s="44" t="s">
        <v>34</v>
      </c>
      <c r="C30" s="44" t="s">
        <v>33</v>
      </c>
      <c r="D30" s="44" t="s">
        <v>0</v>
      </c>
      <c r="E30" s="44" t="s">
        <v>21</v>
      </c>
      <c r="F30" s="44" t="s">
        <v>21</v>
      </c>
      <c r="G30" s="44" t="s">
        <v>32</v>
      </c>
      <c r="H30" s="43" t="s">
        <v>21</v>
      </c>
      <c r="I30" s="42" t="s">
        <v>13</v>
      </c>
    </row>
    <row r="31" spans="1:12" ht="15" thickTop="1" x14ac:dyDescent="0.2">
      <c r="A31" s="41" t="s">
        <v>31</v>
      </c>
      <c r="B31" s="7">
        <v>0.56000000000000005</v>
      </c>
      <c r="C31" s="7">
        <v>0.24</v>
      </c>
      <c r="D31" s="7">
        <f>B31+C31</f>
        <v>0.8</v>
      </c>
      <c r="E31" s="566">
        <v>25000</v>
      </c>
      <c r="F31" s="7">
        <f>($E$31/2000)*D31</f>
        <v>10</v>
      </c>
      <c r="G31" s="39">
        <v>90</v>
      </c>
      <c r="H31" s="38">
        <f>F31*((100-G31)/100)</f>
        <v>1</v>
      </c>
      <c r="I31" s="37">
        <f>H31*4.38</f>
        <v>4.38</v>
      </c>
    </row>
    <row r="32" spans="1:12" ht="15" x14ac:dyDescent="0.25">
      <c r="A32" s="36" t="s">
        <v>30</v>
      </c>
      <c r="B32" s="6">
        <f>0.85*B31</f>
        <v>0.47600000000000003</v>
      </c>
      <c r="C32" s="6">
        <v>0.24</v>
      </c>
      <c r="D32" s="6">
        <f>B32+C32</f>
        <v>0.71599999999999997</v>
      </c>
      <c r="E32" s="567"/>
      <c r="F32" s="6">
        <f>($E$31/2000)*D32</f>
        <v>8.9499999999999993</v>
      </c>
      <c r="G32" s="34">
        <v>90</v>
      </c>
      <c r="H32" s="33">
        <f>F32*((100-G32)/100)</f>
        <v>0.89500000000000002</v>
      </c>
      <c r="I32" s="32">
        <f>H32*4.38</f>
        <v>3.9201000000000001</v>
      </c>
    </row>
    <row r="33" spans="1:12" ht="15" x14ac:dyDescent="0.25">
      <c r="A33" s="156" t="s">
        <v>29</v>
      </c>
      <c r="B33" s="5">
        <f>B31*0.3</f>
        <v>0.16800000000000001</v>
      </c>
      <c r="C33" s="5">
        <v>0.24</v>
      </c>
      <c r="D33" s="5">
        <f>B33+C33</f>
        <v>0.40800000000000003</v>
      </c>
      <c r="E33" s="567"/>
      <c r="F33" s="5">
        <f>($E$31/2000)*D33</f>
        <v>5.1000000000000005</v>
      </c>
      <c r="G33" s="153">
        <v>90</v>
      </c>
      <c r="H33" s="154">
        <f>F33*((100-G33)/100)</f>
        <v>0.51000000000000012</v>
      </c>
      <c r="I33" s="155">
        <f>H33*4.38</f>
        <v>2.2338000000000005</v>
      </c>
    </row>
    <row r="34" spans="1:12" ht="15" thickBot="1" x14ac:dyDescent="0.25">
      <c r="A34" s="31" t="s">
        <v>44</v>
      </c>
      <c r="B34" s="53" t="s">
        <v>256</v>
      </c>
      <c r="C34" s="53" t="s">
        <v>256</v>
      </c>
      <c r="D34" s="162">
        <v>8.5150000000000003E-2</v>
      </c>
      <c r="E34" s="568"/>
      <c r="F34" s="29">
        <f>($E$31/2000)*D34</f>
        <v>1.0643750000000001</v>
      </c>
      <c r="G34" s="28" t="s">
        <v>256</v>
      </c>
      <c r="H34" s="27">
        <f>F34</f>
        <v>1.0643750000000001</v>
      </c>
      <c r="I34" s="26">
        <f>H34*4.38</f>
        <v>4.6619625000000005</v>
      </c>
      <c r="L34" s="129"/>
    </row>
    <row r="35" spans="1:12" ht="14.25" thickTop="1" x14ac:dyDescent="0.2">
      <c r="A35" s="25" t="s">
        <v>43</v>
      </c>
      <c r="B35" s="1"/>
      <c r="C35" s="1"/>
      <c r="D35" s="1"/>
      <c r="E35" s="1"/>
      <c r="F35" s="1"/>
      <c r="G35" s="1"/>
      <c r="H35" s="1"/>
      <c r="I35" s="1"/>
    </row>
    <row r="36" spans="1:12" ht="30" customHeight="1" x14ac:dyDescent="0.2">
      <c r="A36" s="561" t="s">
        <v>46</v>
      </c>
      <c r="B36" s="561"/>
      <c r="C36" s="561"/>
      <c r="D36" s="561"/>
      <c r="E36" s="561"/>
      <c r="F36" s="561"/>
      <c r="G36" s="561"/>
      <c r="H36" s="561"/>
      <c r="I36" s="561"/>
    </row>
    <row r="37" spans="1:12" ht="27.75" customHeight="1" x14ac:dyDescent="0.2">
      <c r="A37" s="561" t="s">
        <v>45</v>
      </c>
      <c r="B37" s="561"/>
      <c r="C37" s="561"/>
      <c r="D37" s="561"/>
      <c r="E37" s="561"/>
      <c r="F37" s="561"/>
      <c r="G37" s="561"/>
      <c r="H37" s="561"/>
      <c r="I37" s="561"/>
    </row>
    <row r="38" spans="1:12" ht="13.5" x14ac:dyDescent="0.2">
      <c r="A38" s="25" t="s">
        <v>264</v>
      </c>
      <c r="B38" s="127"/>
      <c r="C38" s="127"/>
      <c r="D38" s="127"/>
      <c r="E38" s="127"/>
      <c r="F38" s="127"/>
      <c r="G38" s="127"/>
      <c r="H38" s="127"/>
      <c r="I38" s="127"/>
    </row>
    <row r="40" spans="1:12" ht="16.5" thickBot="1" x14ac:dyDescent="0.3">
      <c r="A40" s="585" t="s">
        <v>110</v>
      </c>
      <c r="B40" s="585"/>
      <c r="C40" s="585"/>
      <c r="D40" s="585"/>
      <c r="E40" s="585"/>
      <c r="F40" s="585"/>
      <c r="G40" s="585"/>
      <c r="H40" s="585"/>
      <c r="I40" s="585"/>
    </row>
    <row r="41" spans="1:12" ht="39" thickTop="1" x14ac:dyDescent="0.2">
      <c r="A41" s="14"/>
      <c r="B41" s="1"/>
      <c r="C41" s="586" t="s">
        <v>19</v>
      </c>
      <c r="D41" s="587"/>
      <c r="E41" s="24" t="s">
        <v>24</v>
      </c>
      <c r="F41" s="24" t="s">
        <v>23</v>
      </c>
      <c r="G41" s="23" t="s">
        <v>22</v>
      </c>
      <c r="H41" s="1"/>
      <c r="I41" s="1"/>
    </row>
    <row r="42" spans="1:12" ht="13.5" thickBot="1" x14ac:dyDescent="0.25">
      <c r="A42" s="14"/>
      <c r="B42" s="1"/>
      <c r="C42" s="588"/>
      <c r="D42" s="589"/>
      <c r="E42" s="22" t="s">
        <v>21</v>
      </c>
      <c r="F42" s="22" t="s">
        <v>13</v>
      </c>
      <c r="G42" s="21" t="s">
        <v>13</v>
      </c>
      <c r="H42" s="1"/>
      <c r="I42" s="1"/>
    </row>
    <row r="43" spans="1:12" ht="13.5" thickTop="1" x14ac:dyDescent="0.2">
      <c r="A43" s="14"/>
      <c r="B43" s="1"/>
      <c r="C43" s="593" t="s">
        <v>18</v>
      </c>
      <c r="D43" s="594"/>
      <c r="E43" s="20">
        <f>H9+H19+H31</f>
        <v>2.335</v>
      </c>
      <c r="F43" s="20">
        <f>E43*4.38</f>
        <v>10.2273</v>
      </c>
      <c r="G43" s="19">
        <f>F43</f>
        <v>10.2273</v>
      </c>
      <c r="H43" s="1"/>
      <c r="I43" s="1"/>
    </row>
    <row r="44" spans="1:12" ht="14.25" x14ac:dyDescent="0.25">
      <c r="A44" s="14"/>
      <c r="B44" s="1"/>
      <c r="C44" s="578" t="s">
        <v>17</v>
      </c>
      <c r="D44" s="579"/>
      <c r="E44" s="20">
        <f>H10+H20+H32</f>
        <v>2.0747499999999999</v>
      </c>
      <c r="F44" s="20">
        <f>E44*4.38</f>
        <v>9.0874049999999986</v>
      </c>
      <c r="G44" s="19">
        <f>F44</f>
        <v>9.0874049999999986</v>
      </c>
      <c r="H44" s="1"/>
      <c r="I44" s="1"/>
    </row>
    <row r="45" spans="1:12" ht="14.25" x14ac:dyDescent="0.25">
      <c r="A45" s="14"/>
      <c r="B45" s="1"/>
      <c r="C45" s="578" t="s">
        <v>16</v>
      </c>
      <c r="D45" s="579"/>
      <c r="E45" s="18">
        <f>H11+H21+H33</f>
        <v>1.1205000000000003</v>
      </c>
      <c r="F45" s="18">
        <f>E45*4.38</f>
        <v>4.9077900000000012</v>
      </c>
      <c r="G45" s="17">
        <f>F45</f>
        <v>4.9077900000000012</v>
      </c>
      <c r="H45" s="1"/>
      <c r="I45" s="1"/>
    </row>
    <row r="46" spans="1:12" ht="13.5" thickBot="1" x14ac:dyDescent="0.25">
      <c r="C46" s="611" t="s">
        <v>265</v>
      </c>
      <c r="D46" s="612"/>
      <c r="E46" s="157">
        <f>H22+H34</f>
        <v>2.1287500000000001</v>
      </c>
      <c r="F46" s="157">
        <f>E46*4.38</f>
        <v>9.3239250000000009</v>
      </c>
      <c r="G46" s="158">
        <f>F46</f>
        <v>9.3239250000000009</v>
      </c>
    </row>
    <row r="47" spans="1:12" ht="13.5" thickTop="1" x14ac:dyDescent="0.2"/>
    <row r="48" spans="1:12" x14ac:dyDescent="0.2">
      <c r="E48" s="51"/>
    </row>
  </sheetData>
  <mergeCells count="26">
    <mergeCell ref="B7:D7"/>
    <mergeCell ref="H7:I7"/>
    <mergeCell ref="E9:E11"/>
    <mergeCell ref="A16:I16"/>
    <mergeCell ref="A1:I1"/>
    <mergeCell ref="A2:I2"/>
    <mergeCell ref="A3:I3"/>
    <mergeCell ref="A6:I6"/>
    <mergeCell ref="A4:I4"/>
    <mergeCell ref="B17:D17"/>
    <mergeCell ref="H17:I17"/>
    <mergeCell ref="A28:I28"/>
    <mergeCell ref="A24:I24"/>
    <mergeCell ref="A25:I25"/>
    <mergeCell ref="E19:E22"/>
    <mergeCell ref="C46:D46"/>
    <mergeCell ref="H29:I29"/>
    <mergeCell ref="A40:I40"/>
    <mergeCell ref="A36:I36"/>
    <mergeCell ref="A37:I37"/>
    <mergeCell ref="E31:E34"/>
    <mergeCell ref="C41:D42"/>
    <mergeCell ref="C43:D43"/>
    <mergeCell ref="C44:D44"/>
    <mergeCell ref="C45:D45"/>
    <mergeCell ref="B29:D29"/>
  </mergeCells>
  <printOptions horizontalCentered="1"/>
  <pageMargins left="0.75" right="0.75" top="1" bottom="1" header="0.5" footer="0.5"/>
  <pageSetup scale="68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view="pageBreakPreview" zoomScale="60" zoomScaleNormal="100" workbookViewId="0">
      <selection activeCell="W28" sqref="W28"/>
    </sheetView>
  </sheetViews>
  <sheetFormatPr defaultRowHeight="12.75" x14ac:dyDescent="0.2"/>
  <cols>
    <col min="1" max="1" width="14.7109375" customWidth="1"/>
    <col min="2" max="4" width="12.7109375" customWidth="1"/>
    <col min="5" max="5" width="10.28515625" customWidth="1"/>
    <col min="6" max="6" width="14.7109375" customWidth="1"/>
    <col min="7" max="7" width="8.85546875" customWidth="1"/>
    <col min="8" max="8" width="11.7109375" customWidth="1"/>
    <col min="9" max="10" width="12.7109375" customWidth="1"/>
    <col min="11" max="11" width="10.85546875" customWidth="1"/>
    <col min="12" max="12" width="17.5703125" customWidth="1"/>
    <col min="13" max="13" width="11.140625" customWidth="1"/>
    <col min="14" max="14" width="11.42578125" customWidth="1"/>
  </cols>
  <sheetData>
    <row r="1" spans="1:14" ht="18" x14ac:dyDescent="0.25">
      <c r="A1" s="528" t="s">
        <v>20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</row>
    <row r="2" spans="1:14" ht="15.75" x14ac:dyDescent="0.25">
      <c r="A2" s="529" t="s">
        <v>115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1:14" ht="18.75" x14ac:dyDescent="0.35">
      <c r="A3" s="529" t="s">
        <v>67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</row>
    <row r="4" spans="1:14" ht="15" x14ac:dyDescent="0.2">
      <c r="A4" s="571"/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</row>
    <row r="6" spans="1:14" ht="16.5" thickBot="1" x14ac:dyDescent="0.3">
      <c r="A6" s="572" t="s">
        <v>85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</row>
    <row r="7" spans="1:14" ht="33" customHeight="1" thickTop="1" x14ac:dyDescent="0.2">
      <c r="A7" s="48"/>
      <c r="B7" s="573" t="s">
        <v>39</v>
      </c>
      <c r="C7" s="573"/>
      <c r="D7" s="573"/>
      <c r="E7" s="47" t="s">
        <v>38</v>
      </c>
      <c r="F7" s="46" t="s">
        <v>37</v>
      </c>
      <c r="G7" s="112" t="s">
        <v>105</v>
      </c>
      <c r="H7" s="46" t="s">
        <v>104</v>
      </c>
      <c r="I7" s="602" t="s">
        <v>35</v>
      </c>
      <c r="J7" s="603"/>
      <c r="K7" s="110" t="s">
        <v>36</v>
      </c>
      <c r="L7" s="109" t="s">
        <v>103</v>
      </c>
      <c r="M7" s="600" t="s">
        <v>35</v>
      </c>
      <c r="N7" s="601"/>
    </row>
    <row r="8" spans="1:14" ht="13.5" thickBot="1" x14ac:dyDescent="0.25">
      <c r="A8" s="45" t="s">
        <v>19</v>
      </c>
      <c r="B8" s="44" t="s">
        <v>34</v>
      </c>
      <c r="C8" s="44" t="s">
        <v>33</v>
      </c>
      <c r="D8" s="44" t="s">
        <v>0</v>
      </c>
      <c r="E8" s="44" t="s">
        <v>21</v>
      </c>
      <c r="F8" s="44" t="s">
        <v>21</v>
      </c>
      <c r="G8" s="9" t="s">
        <v>102</v>
      </c>
      <c r="H8" s="9" t="s">
        <v>101</v>
      </c>
      <c r="I8" s="9" t="s">
        <v>21</v>
      </c>
      <c r="J8" s="108" t="s">
        <v>13</v>
      </c>
      <c r="K8" s="8" t="s">
        <v>32</v>
      </c>
      <c r="L8" s="107" t="s">
        <v>32</v>
      </c>
      <c r="M8" s="43" t="s">
        <v>21</v>
      </c>
      <c r="N8" s="42" t="s">
        <v>13</v>
      </c>
    </row>
    <row r="9" spans="1:14" ht="15" thickTop="1" x14ac:dyDescent="0.2">
      <c r="A9" s="41" t="s">
        <v>100</v>
      </c>
      <c r="B9" s="40" t="s">
        <v>12</v>
      </c>
      <c r="C9" s="40" t="s">
        <v>12</v>
      </c>
      <c r="D9" s="7">
        <v>0.72</v>
      </c>
      <c r="E9" s="582">
        <v>2500</v>
      </c>
      <c r="F9" s="7">
        <f>($E$9/2000)*D9</f>
        <v>0.89999999999999991</v>
      </c>
      <c r="G9" s="597">
        <v>240</v>
      </c>
      <c r="H9" s="597">
        <v>2E-3</v>
      </c>
      <c r="I9" s="106">
        <f>(H9/7000)*G9*60</f>
        <v>4.1142857142857144E-3</v>
      </c>
      <c r="J9" s="105">
        <f>I9*4.38</f>
        <v>1.8020571428571427E-2</v>
      </c>
      <c r="K9" s="104">
        <f>(F9-I9)/F9</f>
        <v>0.99542857142857144</v>
      </c>
      <c r="L9" s="103">
        <v>0.99</v>
      </c>
      <c r="M9" s="102">
        <f>F9*0.01</f>
        <v>8.9999999999999993E-3</v>
      </c>
      <c r="N9" s="101">
        <f>M9*4.38</f>
        <v>3.9419999999999997E-2</v>
      </c>
    </row>
    <row r="10" spans="1:14" ht="15" x14ac:dyDescent="0.25">
      <c r="A10" s="36" t="s">
        <v>99</v>
      </c>
      <c r="B10" s="35" t="s">
        <v>12</v>
      </c>
      <c r="C10" s="35" t="s">
        <v>12</v>
      </c>
      <c r="D10" s="6">
        <v>0.46</v>
      </c>
      <c r="E10" s="583"/>
      <c r="F10" s="6">
        <f>($E$9/2000)*D10</f>
        <v>0.57500000000000007</v>
      </c>
      <c r="G10" s="598"/>
      <c r="H10" s="598"/>
      <c r="I10" s="100">
        <f>(H9/7000)*G9*60</f>
        <v>4.1142857142857144E-3</v>
      </c>
      <c r="J10" s="99">
        <f>I10*4.38</f>
        <v>1.8020571428571427E-2</v>
      </c>
      <c r="K10" s="98">
        <f>(F10-I10)/F10</f>
        <v>0.99284472049689432</v>
      </c>
      <c r="L10" s="97">
        <v>0.99</v>
      </c>
      <c r="M10" s="96">
        <f>F10*0.01</f>
        <v>5.7500000000000008E-3</v>
      </c>
      <c r="N10" s="95">
        <f>M10*4.38</f>
        <v>2.5185000000000003E-2</v>
      </c>
    </row>
    <row r="11" spans="1:14" ht="15.75" thickBot="1" x14ac:dyDescent="0.3">
      <c r="A11" s="31" t="s">
        <v>98</v>
      </c>
      <c r="B11" s="30" t="s">
        <v>12</v>
      </c>
      <c r="C11" s="30" t="s">
        <v>12</v>
      </c>
      <c r="D11" s="29">
        <v>0.46</v>
      </c>
      <c r="E11" s="584"/>
      <c r="F11" s="29">
        <f>($E$9/2000)*D11</f>
        <v>0.57500000000000007</v>
      </c>
      <c r="G11" s="599"/>
      <c r="H11" s="599"/>
      <c r="I11" s="94">
        <f>(H9/7000)*G9*60</f>
        <v>4.1142857142857144E-3</v>
      </c>
      <c r="J11" s="93">
        <f>I11*4.38</f>
        <v>1.8020571428571427E-2</v>
      </c>
      <c r="K11" s="92">
        <f>(F11-I11)/F11</f>
        <v>0.99284472049689432</v>
      </c>
      <c r="L11" s="91">
        <v>0.99</v>
      </c>
      <c r="M11" s="90">
        <f>F11*0.01</f>
        <v>5.7500000000000008E-3</v>
      </c>
      <c r="N11" s="89">
        <f>M11*4.38</f>
        <v>2.5185000000000003E-2</v>
      </c>
    </row>
    <row r="12" spans="1:14" ht="14.25" thickTop="1" x14ac:dyDescent="0.2">
      <c r="A12" s="88" t="s">
        <v>97</v>
      </c>
    </row>
    <row r="13" spans="1:14" ht="13.5" x14ac:dyDescent="0.2">
      <c r="A13" s="25" t="s">
        <v>96</v>
      </c>
    </row>
    <row r="14" spans="1:14" ht="14.25" x14ac:dyDescent="0.25">
      <c r="A14" s="25" t="s">
        <v>95</v>
      </c>
    </row>
    <row r="15" spans="1:14" ht="14.25" x14ac:dyDescent="0.25">
      <c r="A15" s="25" t="s">
        <v>94</v>
      </c>
    </row>
  </sheetData>
  <mergeCells count="11">
    <mergeCell ref="A1:N1"/>
    <mergeCell ref="A2:N2"/>
    <mergeCell ref="A3:N3"/>
    <mergeCell ref="A4:N4"/>
    <mergeCell ref="A6:N6"/>
    <mergeCell ref="E9:E11"/>
    <mergeCell ref="G9:G11"/>
    <mergeCell ref="H9:H11"/>
    <mergeCell ref="M7:N7"/>
    <mergeCell ref="B7:D7"/>
    <mergeCell ref="I7:J7"/>
  </mergeCells>
  <printOptions horizontalCentered="1"/>
  <pageMargins left="0.75" right="0.75" top="1" bottom="1" header="0.5" footer="0.5"/>
  <pageSetup scale="70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Summary</vt:lpstr>
      <vt:lpstr>Combustion (Proposed)</vt:lpstr>
      <vt:lpstr>Total HAPs</vt:lpstr>
      <vt:lpstr>EU002</vt:lpstr>
      <vt:lpstr>EU003</vt:lpstr>
      <vt:lpstr>EU005</vt:lpstr>
      <vt:lpstr>EU009, EU010</vt:lpstr>
      <vt:lpstr>EU011, EU012 &amp; EU013</vt:lpstr>
      <vt:lpstr>EU014</vt:lpstr>
      <vt:lpstr>EU020, EU021 &amp; EU022</vt:lpstr>
      <vt:lpstr>Combustion (Existing Calcs)</vt:lpstr>
      <vt:lpstr>Sheet1</vt:lpstr>
      <vt:lpstr>'Combustion (Existing Calcs)'!Print_Area</vt:lpstr>
      <vt:lpstr>'Combustion (Proposed)'!Print_Area</vt:lpstr>
      <vt:lpstr>'EU020, EU021 &amp; EU022'!Print_Area</vt:lpstr>
      <vt:lpstr>'Total HAPs'!Print_Area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Hill Brandt</dc:creator>
  <cp:lastModifiedBy>Olson, Beckie</cp:lastModifiedBy>
  <cp:lastPrinted>2013-05-07T18:27:22Z</cp:lastPrinted>
  <dcterms:created xsi:type="dcterms:W3CDTF">2013-01-08T13:12:05Z</dcterms:created>
  <dcterms:modified xsi:type="dcterms:W3CDTF">2016-01-20T16:24:36Z</dcterms:modified>
</cp:coreProperties>
</file>